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ruger\Desktop\"/>
    </mc:Choice>
  </mc:AlternateContent>
  <bookViews>
    <workbookView xWindow="0" yWindow="0" windowWidth="25320" windowHeight="10815" tabRatio="500"/>
  </bookViews>
  <sheets>
    <sheet name="Stats og tweaks" sheetId="3" r:id="rId1"/>
    <sheet name="Sheet2" sheetId="2" r:id="rId2"/>
  </sheets>
  <definedNames>
    <definedName name="_xlnm.Print_Area" localSheetId="1">Sheet2!$A$1:$U$190</definedName>
  </definedNames>
  <calcPr calcId="17102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75" i="2" l="1"/>
  <c r="P74" i="2"/>
  <c r="L70" i="2"/>
  <c r="L108" i="2"/>
  <c r="L146" i="2" s="1"/>
  <c r="I70" i="2"/>
  <c r="I108" i="2"/>
  <c r="I146" i="2"/>
  <c r="L69" i="2"/>
  <c r="L107" i="2"/>
  <c r="L145" i="2"/>
  <c r="N181" i="2"/>
  <c r="I181" i="2"/>
  <c r="P180" i="2"/>
  <c r="I180" i="2"/>
  <c r="B180" i="2"/>
  <c r="P179" i="2"/>
  <c r="I179" i="2"/>
  <c r="B179" i="2"/>
  <c r="P178" i="2"/>
  <c r="I178" i="2"/>
  <c r="B178" i="2"/>
  <c r="P177" i="2"/>
  <c r="I177" i="2"/>
  <c r="B177" i="2"/>
  <c r="P176" i="2"/>
  <c r="I176" i="2"/>
  <c r="B176" i="2"/>
  <c r="P175" i="2"/>
  <c r="I175" i="2"/>
  <c r="B175" i="2"/>
  <c r="S51" i="2"/>
  <c r="S89" i="2"/>
  <c r="S127" i="2" s="1"/>
  <c r="E51" i="2"/>
  <c r="E89" i="2"/>
  <c r="E127" i="2"/>
  <c r="S50" i="2"/>
  <c r="S88" i="2"/>
  <c r="S126" i="2"/>
  <c r="E50" i="2"/>
  <c r="E88" i="2" s="1"/>
  <c r="E126" i="2" s="1"/>
  <c r="U162" i="2"/>
  <c r="P162" i="2"/>
  <c r="B162" i="2"/>
  <c r="P161" i="2"/>
  <c r="I161" i="2"/>
  <c r="B161" i="2"/>
  <c r="P160" i="2"/>
  <c r="I160" i="2"/>
  <c r="B160" i="2"/>
  <c r="P159" i="2"/>
  <c r="I159" i="2"/>
  <c r="B159" i="2"/>
  <c r="P158" i="2"/>
  <c r="I158" i="2"/>
  <c r="B158" i="2"/>
  <c r="P157" i="2"/>
  <c r="I157" i="2"/>
  <c r="B157" i="2"/>
  <c r="P156" i="2"/>
  <c r="I156" i="2"/>
  <c r="B156" i="2"/>
  <c r="B123" i="2"/>
  <c r="B85" i="2"/>
  <c r="B47" i="2"/>
  <c r="B9" i="2"/>
  <c r="U75" i="2"/>
  <c r="T75" i="2"/>
  <c r="S75" i="2"/>
  <c r="R75" i="2"/>
  <c r="Q75" i="2"/>
  <c r="G75" i="2"/>
  <c r="B75" i="2"/>
  <c r="U74" i="2"/>
  <c r="T74" i="2"/>
  <c r="S74" i="2"/>
  <c r="R74" i="2"/>
  <c r="Q74" i="2"/>
  <c r="G74" i="2"/>
  <c r="B74" i="2"/>
  <c r="P149" i="2"/>
  <c r="B149" i="2"/>
  <c r="P148" i="2"/>
  <c r="N72" i="2"/>
  <c r="M72" i="2"/>
  <c r="L72" i="2"/>
  <c r="K72" i="2"/>
  <c r="J72" i="2"/>
  <c r="I72" i="2"/>
  <c r="B148" i="2"/>
  <c r="P147" i="2"/>
  <c r="N71" i="2"/>
  <c r="M71" i="2"/>
  <c r="L71" i="2"/>
  <c r="K71" i="2"/>
  <c r="J71" i="2"/>
  <c r="I71" i="2"/>
  <c r="B147" i="2"/>
  <c r="P146" i="2"/>
  <c r="N70" i="2"/>
  <c r="N108" i="2"/>
  <c r="N146" i="2"/>
  <c r="M70" i="2"/>
  <c r="M108" i="2" s="1"/>
  <c r="M146" i="2" s="1"/>
  <c r="K70" i="2"/>
  <c r="K108" i="2"/>
  <c r="K146" i="2" s="1"/>
  <c r="J70" i="2"/>
  <c r="J108" i="2"/>
  <c r="J146" i="2"/>
  <c r="B146" i="2"/>
  <c r="P145" i="2"/>
  <c r="N69" i="2"/>
  <c r="N107" i="2"/>
  <c r="N145" i="2" s="1"/>
  <c r="M69" i="2"/>
  <c r="M107" i="2"/>
  <c r="M145" i="2"/>
  <c r="K69" i="2"/>
  <c r="K107" i="2"/>
  <c r="K145" i="2"/>
  <c r="J69" i="2"/>
  <c r="J107" i="2" s="1"/>
  <c r="J145" i="2" s="1"/>
  <c r="I69" i="2"/>
  <c r="I107" i="2"/>
  <c r="I145" i="2" s="1"/>
  <c r="B145" i="2"/>
  <c r="P144" i="2"/>
  <c r="I144" i="2"/>
  <c r="B144" i="2"/>
  <c r="P143" i="2"/>
  <c r="I143" i="2"/>
  <c r="B143" i="2"/>
  <c r="P142" i="2"/>
  <c r="I142" i="2"/>
  <c r="B142" i="2"/>
  <c r="P141" i="2"/>
  <c r="I141" i="2"/>
  <c r="B141" i="2"/>
  <c r="P140" i="2"/>
  <c r="I140" i="2"/>
  <c r="B140" i="2"/>
  <c r="P139" i="2"/>
  <c r="I139" i="2"/>
  <c r="B139" i="2"/>
  <c r="P138" i="2"/>
  <c r="I138" i="2"/>
  <c r="B138" i="2"/>
  <c r="P137" i="2"/>
  <c r="I137" i="2"/>
  <c r="B137" i="2"/>
  <c r="N56" i="2"/>
  <c r="M56" i="2"/>
  <c r="L56" i="2"/>
  <c r="K56" i="2"/>
  <c r="J56" i="2"/>
  <c r="I56" i="2"/>
  <c r="N55" i="2"/>
  <c r="M55" i="2"/>
  <c r="L55" i="2"/>
  <c r="K55" i="2"/>
  <c r="J55" i="2"/>
  <c r="I55" i="2"/>
  <c r="I130" i="2"/>
  <c r="U53" i="2"/>
  <c r="T53" i="2"/>
  <c r="S53" i="2"/>
  <c r="R53" i="2"/>
  <c r="Q53" i="2"/>
  <c r="P53" i="2"/>
  <c r="I129" i="2"/>
  <c r="G53" i="2"/>
  <c r="F53" i="2"/>
  <c r="E53" i="2"/>
  <c r="D53" i="2"/>
  <c r="C53" i="2"/>
  <c r="B53" i="2"/>
  <c r="U52" i="2"/>
  <c r="T52" i="2"/>
  <c r="S52" i="2"/>
  <c r="R52" i="2"/>
  <c r="Q52" i="2"/>
  <c r="P52" i="2"/>
  <c r="I128" i="2"/>
  <c r="G52" i="2"/>
  <c r="F52" i="2"/>
  <c r="E52" i="2"/>
  <c r="D52" i="2"/>
  <c r="C52" i="2"/>
  <c r="B52" i="2"/>
  <c r="U51" i="2"/>
  <c r="U89" i="2"/>
  <c r="U127" i="2"/>
  <c r="T51" i="2"/>
  <c r="T89" i="2"/>
  <c r="T127" i="2"/>
  <c r="R51" i="2"/>
  <c r="R89" i="2" s="1"/>
  <c r="R127" i="2" s="1"/>
  <c r="Q51" i="2"/>
  <c r="Q89" i="2"/>
  <c r="Q127" i="2" s="1"/>
  <c r="P51" i="2"/>
  <c r="P89" i="2"/>
  <c r="P127" i="2"/>
  <c r="I127" i="2"/>
  <c r="G51" i="2"/>
  <c r="G89" i="2"/>
  <c r="G127" i="2"/>
  <c r="F51" i="2"/>
  <c r="F89" i="2"/>
  <c r="F127" i="2"/>
  <c r="D51" i="2"/>
  <c r="D89" i="2" s="1"/>
  <c r="D127" i="2" s="1"/>
  <c r="C51" i="2"/>
  <c r="C89" i="2"/>
  <c r="C127" i="2" s="1"/>
  <c r="B51" i="2"/>
  <c r="B89" i="2"/>
  <c r="B127" i="2"/>
  <c r="U50" i="2"/>
  <c r="U88" i="2"/>
  <c r="U126" i="2"/>
  <c r="T50" i="2"/>
  <c r="T88" i="2" s="1"/>
  <c r="T126" i="2" s="1"/>
  <c r="R50" i="2"/>
  <c r="R88" i="2"/>
  <c r="R126" i="2" s="1"/>
  <c r="Q50" i="2"/>
  <c r="Q88" i="2"/>
  <c r="Q126" i="2"/>
  <c r="P50" i="2"/>
  <c r="P88" i="2"/>
  <c r="P126" i="2"/>
  <c r="I126" i="2"/>
  <c r="G50" i="2"/>
  <c r="G88" i="2"/>
  <c r="G126" i="2"/>
  <c r="F50" i="2"/>
  <c r="F88" i="2" s="1"/>
  <c r="F126" i="2" s="1"/>
  <c r="D50" i="2"/>
  <c r="D88" i="2"/>
  <c r="D126" i="2" s="1"/>
  <c r="C50" i="2"/>
  <c r="C88" i="2"/>
  <c r="C126" i="2"/>
  <c r="B50" i="2"/>
  <c r="B88" i="2"/>
  <c r="B126" i="2"/>
  <c r="P125" i="2"/>
  <c r="I125" i="2"/>
  <c r="B125" i="2"/>
  <c r="P124" i="2"/>
  <c r="I124" i="2"/>
  <c r="B124" i="2"/>
  <c r="P123" i="2"/>
  <c r="I123" i="2"/>
  <c r="P122" i="2"/>
  <c r="I122" i="2"/>
  <c r="B122" i="2"/>
  <c r="P121" i="2"/>
  <c r="I121" i="2"/>
  <c r="B121" i="2"/>
  <c r="P120" i="2"/>
  <c r="I120" i="2"/>
  <c r="B120" i="2"/>
  <c r="P119" i="2"/>
  <c r="I119" i="2"/>
  <c r="B119" i="2"/>
  <c r="P118" i="2"/>
  <c r="I118" i="2"/>
  <c r="B118" i="2"/>
  <c r="P111" i="2"/>
  <c r="B111" i="2"/>
  <c r="P110" i="2"/>
  <c r="B110" i="2"/>
  <c r="P109" i="2"/>
  <c r="B109" i="2"/>
  <c r="P108" i="2"/>
  <c r="B108" i="2"/>
  <c r="P107" i="2"/>
  <c r="B107" i="2"/>
  <c r="P106" i="2"/>
  <c r="I106" i="2"/>
  <c r="B106" i="2"/>
  <c r="P105" i="2"/>
  <c r="I105" i="2"/>
  <c r="B105" i="2"/>
  <c r="P104" i="2"/>
  <c r="I104" i="2"/>
  <c r="B104" i="2"/>
  <c r="P103" i="2"/>
  <c r="I103" i="2"/>
  <c r="B103" i="2"/>
  <c r="P102" i="2"/>
  <c r="I102" i="2"/>
  <c r="B102" i="2"/>
  <c r="P101" i="2"/>
  <c r="I101" i="2"/>
  <c r="B101" i="2"/>
  <c r="P100" i="2"/>
  <c r="I100" i="2"/>
  <c r="B100" i="2"/>
  <c r="P99" i="2"/>
  <c r="I99" i="2"/>
  <c r="B99" i="2"/>
  <c r="I92" i="2"/>
  <c r="I91" i="2"/>
  <c r="I90" i="2"/>
  <c r="I89" i="2"/>
  <c r="I88" i="2"/>
  <c r="P87" i="2"/>
  <c r="I87" i="2"/>
  <c r="B87" i="2"/>
  <c r="P86" i="2"/>
  <c r="I86" i="2"/>
  <c r="B86" i="2"/>
  <c r="P85" i="2"/>
  <c r="I85" i="2"/>
  <c r="P84" i="2"/>
  <c r="I84" i="2"/>
  <c r="B84" i="2"/>
  <c r="P83" i="2"/>
  <c r="I83" i="2"/>
  <c r="B83" i="2"/>
  <c r="P82" i="2"/>
  <c r="I82" i="2"/>
  <c r="B82" i="2"/>
  <c r="P81" i="2"/>
  <c r="I81" i="2"/>
  <c r="B81" i="2"/>
  <c r="P80" i="2"/>
  <c r="I80" i="2"/>
  <c r="B80" i="2"/>
  <c r="P48" i="2"/>
  <c r="B73" i="2"/>
  <c r="P47" i="2"/>
  <c r="B72" i="2"/>
  <c r="P46" i="2"/>
  <c r="B71" i="2"/>
  <c r="P45" i="2"/>
  <c r="B70" i="2"/>
  <c r="P44" i="2"/>
  <c r="B69" i="2"/>
  <c r="P43" i="2"/>
  <c r="I68" i="2"/>
  <c r="B68" i="2"/>
  <c r="P42" i="2"/>
  <c r="I67" i="2"/>
  <c r="B67" i="2"/>
  <c r="P66" i="2"/>
  <c r="I66" i="2"/>
  <c r="B66" i="2"/>
  <c r="P65" i="2"/>
  <c r="I65" i="2"/>
  <c r="B65" i="2"/>
  <c r="P64" i="2"/>
  <c r="I64" i="2"/>
  <c r="B64" i="2"/>
  <c r="P63" i="2"/>
  <c r="I63" i="2"/>
  <c r="B63" i="2"/>
  <c r="P62" i="2"/>
  <c r="I62" i="2"/>
  <c r="B62" i="2"/>
  <c r="P61" i="2"/>
  <c r="I61" i="2"/>
  <c r="B61" i="2"/>
  <c r="I54" i="2"/>
  <c r="I53" i="2"/>
  <c r="I52" i="2"/>
  <c r="I51" i="2"/>
  <c r="I50" i="2"/>
  <c r="P49" i="2"/>
  <c r="I49" i="2"/>
  <c r="B49" i="2"/>
  <c r="P73" i="2"/>
  <c r="I48" i="2"/>
  <c r="B48" i="2"/>
  <c r="P72" i="2"/>
  <c r="I47" i="2"/>
  <c r="P71" i="2"/>
  <c r="I46" i="2"/>
  <c r="B46" i="2"/>
  <c r="P70" i="2"/>
  <c r="I45" i="2"/>
  <c r="B45" i="2"/>
  <c r="P69" i="2"/>
  <c r="I44" i="2"/>
  <c r="B44" i="2"/>
  <c r="P68" i="2"/>
  <c r="I43" i="2"/>
  <c r="B43" i="2"/>
  <c r="P67" i="2"/>
  <c r="I42" i="2"/>
  <c r="B42" i="2"/>
  <c r="P5" i="2"/>
  <c r="P6" i="2"/>
  <c r="P7" i="2"/>
  <c r="P8" i="2"/>
  <c r="P9" i="2"/>
  <c r="P24" i="2"/>
  <c r="P25" i="2"/>
  <c r="P26" i="2"/>
  <c r="P27" i="2"/>
  <c r="P28" i="2"/>
  <c r="I24" i="2"/>
  <c r="I25" i="2"/>
  <c r="I26" i="2"/>
  <c r="I27" i="2"/>
  <c r="I28" i="2"/>
  <c r="B30" i="2"/>
  <c r="B31" i="2"/>
  <c r="B32" i="2"/>
  <c r="B33" i="2"/>
  <c r="B34" i="2"/>
  <c r="B35" i="2"/>
  <c r="B28" i="2"/>
  <c r="B24" i="2"/>
  <c r="B25" i="2"/>
  <c r="B26" i="2"/>
  <c r="B27" i="2"/>
  <c r="P30" i="2"/>
  <c r="P31" i="2"/>
  <c r="P32" i="2"/>
  <c r="P33" i="2"/>
  <c r="P34" i="2"/>
  <c r="I11" i="2"/>
  <c r="I12" i="2"/>
  <c r="I13" i="2"/>
  <c r="I14" i="2"/>
  <c r="I15" i="2"/>
  <c r="I5" i="2"/>
  <c r="I6" i="2"/>
  <c r="I7" i="2"/>
  <c r="I8" i="2"/>
  <c r="I9" i="2"/>
  <c r="B5" i="2"/>
  <c r="B6" i="2"/>
  <c r="B7" i="2"/>
  <c r="B8" i="2"/>
  <c r="P10" i="2"/>
  <c r="P4" i="2"/>
  <c r="P23" i="2"/>
  <c r="I30" i="2"/>
  <c r="I29" i="2"/>
  <c r="I23" i="2"/>
  <c r="B29" i="2"/>
  <c r="B23" i="2"/>
  <c r="P11" i="2"/>
  <c r="P35" i="2"/>
  <c r="P29" i="2"/>
  <c r="I16" i="2"/>
  <c r="I10" i="2"/>
  <c r="I4" i="2"/>
  <c r="B11" i="2"/>
  <c r="B10" i="2"/>
  <c r="B4" i="2"/>
  <c r="U27" i="2"/>
  <c r="U66" i="2" s="1"/>
  <c r="U65" i="2"/>
  <c r="U101" i="2"/>
  <c r="G67" i="2"/>
  <c r="U63" i="2"/>
  <c r="U62" i="2"/>
  <c r="U5" i="2"/>
  <c r="U4" i="2"/>
  <c r="G34" i="2"/>
  <c r="G32" i="2"/>
  <c r="G29" i="2"/>
  <c r="G10" i="2"/>
  <c r="U25" i="2"/>
  <c r="U24" i="2"/>
  <c r="G26" i="2"/>
  <c r="G25" i="2"/>
  <c r="N15" i="2"/>
  <c r="N13" i="2"/>
  <c r="N10" i="2"/>
  <c r="N9" i="2"/>
  <c r="N5" i="2"/>
  <c r="N4" i="2"/>
  <c r="U11" i="2"/>
  <c r="A21" i="3"/>
  <c r="A22" i="3"/>
  <c r="A23" i="3"/>
  <c r="A24" i="3"/>
  <c r="A25" i="3"/>
  <c r="A26" i="3"/>
  <c r="A27" i="3"/>
  <c r="A28" i="3"/>
  <c r="A20" i="3"/>
  <c r="D21" i="3"/>
  <c r="G4" i="2" s="1"/>
  <c r="D22" i="3"/>
  <c r="D23" i="3"/>
  <c r="G33" i="2" s="1"/>
  <c r="D24" i="3"/>
  <c r="N14" i="2" s="1"/>
  <c r="D25" i="3"/>
  <c r="D26" i="3"/>
  <c r="D27" i="3"/>
  <c r="U28" i="2" s="1"/>
  <c r="D28" i="3"/>
  <c r="N7" i="2" s="1"/>
  <c r="D20" i="3"/>
  <c r="N26" i="2" s="1"/>
  <c r="U32" i="2" l="1"/>
  <c r="U31" i="2"/>
  <c r="U29" i="2"/>
  <c r="N16" i="2"/>
  <c r="G9" i="2"/>
  <c r="N49" i="2"/>
  <c r="N52" i="2"/>
  <c r="N53" i="2"/>
  <c r="N48" i="2"/>
  <c r="N27" i="2"/>
  <c r="G69" i="2"/>
  <c r="G71" i="2"/>
  <c r="G68" i="2"/>
  <c r="N50" i="2"/>
  <c r="U34" i="2"/>
  <c r="G48" i="2"/>
  <c r="G70" i="2"/>
  <c r="U103" i="2"/>
  <c r="U102" i="2"/>
  <c r="U87" i="2"/>
  <c r="U104" i="2"/>
  <c r="U99" i="2"/>
  <c r="N23" i="2"/>
  <c r="N28" i="2"/>
  <c r="N24" i="2"/>
  <c r="G8" i="2"/>
  <c r="G5" i="2"/>
  <c r="G6" i="2"/>
  <c r="U33" i="2"/>
  <c r="G7" i="2"/>
  <c r="N29" i="2"/>
  <c r="G27" i="2"/>
  <c r="G24" i="2"/>
  <c r="G11" i="2"/>
  <c r="G28" i="2"/>
  <c r="G23" i="2"/>
  <c r="U7" i="2"/>
  <c r="U9" i="2"/>
  <c r="U8" i="2"/>
  <c r="U6" i="2"/>
  <c r="U35" i="2"/>
  <c r="N25" i="2"/>
  <c r="U30" i="2"/>
  <c r="N51" i="2"/>
  <c r="G72" i="2"/>
  <c r="U100" i="2"/>
  <c r="N6" i="2"/>
  <c r="N11" i="2"/>
  <c r="U26" i="2"/>
  <c r="G30" i="2"/>
  <c r="U64" i="2"/>
  <c r="N8" i="2"/>
  <c r="N12" i="2"/>
  <c r="U23" i="2"/>
  <c r="G31" i="2"/>
  <c r="U49" i="2"/>
  <c r="U61" i="2"/>
  <c r="G108" i="2" l="1"/>
  <c r="G105" i="2"/>
  <c r="G106" i="2"/>
  <c r="G86" i="2"/>
  <c r="G107" i="2"/>
  <c r="G110" i="2"/>
  <c r="G109" i="2"/>
  <c r="U45" i="2"/>
  <c r="U44" i="2"/>
  <c r="U73" i="2"/>
  <c r="U46" i="2"/>
  <c r="U43" i="2"/>
  <c r="U42" i="2"/>
  <c r="U47" i="2"/>
  <c r="N86" i="2"/>
  <c r="N91" i="2"/>
  <c r="N87" i="2"/>
  <c r="N89" i="2"/>
  <c r="N90" i="2"/>
  <c r="N88" i="2"/>
  <c r="N67" i="2"/>
  <c r="G35" i="2"/>
  <c r="G44" i="2"/>
  <c r="G46" i="2"/>
  <c r="G45" i="2"/>
  <c r="G42" i="2"/>
  <c r="G43" i="2"/>
  <c r="G47" i="2"/>
  <c r="U139" i="2"/>
  <c r="U141" i="2"/>
  <c r="U140" i="2"/>
  <c r="U125" i="2"/>
  <c r="U142" i="2"/>
  <c r="U137" i="2"/>
  <c r="U138" i="2"/>
  <c r="N65" i="2"/>
  <c r="N66" i="2"/>
  <c r="N61" i="2"/>
  <c r="N64" i="2"/>
  <c r="N54" i="2"/>
  <c r="N63" i="2"/>
  <c r="N62" i="2"/>
  <c r="N44" i="2"/>
  <c r="N46" i="2"/>
  <c r="N43" i="2"/>
  <c r="N30" i="2"/>
  <c r="N42" i="2"/>
  <c r="N47" i="2"/>
  <c r="N45" i="2"/>
  <c r="G66" i="2"/>
  <c r="G61" i="2"/>
  <c r="G65" i="2"/>
  <c r="G64" i="2"/>
  <c r="G49" i="2"/>
  <c r="G63" i="2"/>
  <c r="G62" i="2"/>
  <c r="U71" i="2"/>
  <c r="U10" i="2"/>
  <c r="U68" i="2"/>
  <c r="U72" i="2"/>
  <c r="U67" i="2"/>
  <c r="U69" i="2"/>
  <c r="U70" i="2"/>
  <c r="G85" i="2" l="1"/>
  <c r="G80" i="2"/>
  <c r="G81" i="2"/>
  <c r="G73" i="2"/>
  <c r="G84" i="2"/>
  <c r="G82" i="2"/>
  <c r="G83" i="2"/>
  <c r="U82" i="2"/>
  <c r="U83" i="2"/>
  <c r="U85" i="2"/>
  <c r="U84" i="2"/>
  <c r="U111" i="2"/>
  <c r="U81" i="2"/>
  <c r="U80" i="2"/>
  <c r="G146" i="2"/>
  <c r="G143" i="2"/>
  <c r="G144" i="2"/>
  <c r="G148" i="2"/>
  <c r="G124" i="2"/>
  <c r="G147" i="2"/>
  <c r="G162" i="2" s="1"/>
  <c r="G145" i="2"/>
  <c r="U178" i="2"/>
  <c r="U176" i="2"/>
  <c r="U179" i="2"/>
  <c r="U175" i="2"/>
  <c r="U180" i="2"/>
  <c r="U177" i="2"/>
  <c r="G100" i="2"/>
  <c r="G101" i="2"/>
  <c r="G103" i="2"/>
  <c r="G99" i="2"/>
  <c r="G104" i="2"/>
  <c r="G102" i="2"/>
  <c r="G87" i="2"/>
  <c r="N81" i="2"/>
  <c r="N82" i="2"/>
  <c r="N68" i="2"/>
  <c r="N83" i="2"/>
  <c r="N84" i="2"/>
  <c r="N80" i="2"/>
  <c r="N85" i="2"/>
  <c r="N101" i="2"/>
  <c r="N92" i="2"/>
  <c r="N103" i="2"/>
  <c r="N102" i="2"/>
  <c r="N104" i="2"/>
  <c r="N99" i="2"/>
  <c r="N100" i="2"/>
  <c r="N126" i="2"/>
  <c r="N129" i="2"/>
  <c r="N124" i="2"/>
  <c r="N128" i="2"/>
  <c r="N143" i="2" s="1"/>
  <c r="N105" i="2"/>
  <c r="N127" i="2"/>
  <c r="N125" i="2"/>
  <c r="U109" i="2"/>
  <c r="U110" i="2"/>
  <c r="U107" i="2"/>
  <c r="U48" i="2"/>
  <c r="U106" i="2"/>
  <c r="U105" i="2"/>
  <c r="U108" i="2"/>
  <c r="U146" i="2" l="1"/>
  <c r="U144" i="2"/>
  <c r="U147" i="2"/>
  <c r="U124" i="2" s="1"/>
  <c r="U148" i="2"/>
  <c r="U86" i="2"/>
  <c r="U143" i="2"/>
  <c r="U145" i="2"/>
  <c r="N122" i="2"/>
  <c r="N121" i="2"/>
  <c r="N106" i="2"/>
  <c r="N123" i="2"/>
  <c r="N118" i="2"/>
  <c r="N120" i="2"/>
  <c r="N119" i="2"/>
  <c r="U122" i="2"/>
  <c r="U123" i="2"/>
  <c r="U118" i="2"/>
  <c r="U149" i="2"/>
  <c r="U119" i="2"/>
  <c r="U120" i="2"/>
  <c r="U121" i="2"/>
  <c r="G142" i="2"/>
  <c r="G137" i="2"/>
  <c r="G138" i="2"/>
  <c r="G141" i="2"/>
  <c r="G139" i="2"/>
  <c r="G125" i="2"/>
  <c r="G140" i="2"/>
  <c r="N138" i="2"/>
  <c r="N139" i="2"/>
  <c r="N130" i="2"/>
  <c r="N141" i="2"/>
  <c r="N142" i="2"/>
  <c r="N140" i="2"/>
  <c r="N137" i="2"/>
  <c r="G120" i="2"/>
  <c r="G111" i="2"/>
  <c r="G121" i="2"/>
  <c r="G118" i="2"/>
  <c r="G122" i="2"/>
  <c r="G123" i="2"/>
  <c r="G119" i="2"/>
  <c r="G160" i="2" l="1"/>
  <c r="G156" i="2"/>
  <c r="G157" i="2"/>
  <c r="G149" i="2"/>
  <c r="G161" i="2"/>
  <c r="G159" i="2"/>
  <c r="G158" i="2"/>
  <c r="N177" i="2"/>
  <c r="N178" i="2"/>
  <c r="N179" i="2"/>
  <c r="N175" i="2"/>
  <c r="N176" i="2"/>
  <c r="N180" i="2"/>
  <c r="U160" i="2"/>
  <c r="U158" i="2"/>
  <c r="U161" i="2"/>
  <c r="U159" i="2"/>
  <c r="U156" i="2"/>
  <c r="U157" i="2"/>
  <c r="N157" i="2"/>
  <c r="N160" i="2"/>
  <c r="N158" i="2"/>
  <c r="N144" i="2"/>
  <c r="N159" i="2"/>
  <c r="N161" i="2"/>
  <c r="N156" i="2"/>
  <c r="G180" i="2"/>
  <c r="G176" i="2"/>
  <c r="G177" i="2"/>
  <c r="G178" i="2"/>
  <c r="G179" i="2"/>
  <c r="G175" i="2"/>
</calcChain>
</file>

<file path=xl/comments1.xml><?xml version="1.0" encoding="utf-8"?>
<comments xmlns="http://schemas.openxmlformats.org/spreadsheetml/2006/main">
  <authors>
    <author>Anders Nedergaard</author>
  </authors>
  <commentList>
    <comment ref="A11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Kan erstattes af anden vertikal presseøvelse, som:
Seated DB press
Arnold press
Pushpress
seated front press
</t>
        </r>
      </text>
    </comment>
    <comment ref="B11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Kan erstattes af anden horisontal presseøvelse, som:
Low incline BB pres
Low decline BB pres
Low incline DB pres
Low decline DB pres
</t>
        </r>
      </text>
    </comment>
    <comment ref="C11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Kan erstattes af andre presseøvelser, hvor man presser ned, som:
Armstrækkere m. vægt
Decline BB pres
Decline DB pres
Hvis der ændres til en ikke-kropsvægt øvelser, skal regnearket dog ændres, da det tager højde for kropsvægt i dips.</t>
        </r>
      </text>
    </comment>
    <comment ref="A12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greb og grebsbredde underordnet, bare det er konsistent. Kan erstattes af anden vertikal trækkebevægelse, som:
Træk til bryst
(dette vil dog kræve modifikationer af regnearket, da det i sin nuværende form tager højde for kropsvægt i kropshævninger.</t>
        </r>
      </text>
    </comment>
    <comment ref="B12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Kan erstattes af anden horisontal trækkeøvelse, men det tilrådes dog at tage en øvelse, hvor man ikke kan "snyde". Det kunne være:
Row maskine</t>
        </r>
      </text>
    </comment>
    <comment ref="C12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Kan erstattes af anden bagkæde/nakke øvelse, som:
hang clean
High pulls
Råtræk/power snatch</t>
        </r>
      </text>
    </comment>
    <comment ref="A13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Kan erstattes med anden øvelse med fokus på forlår, som:
Hack squat
Box front squat
Safety bar squat</t>
        </r>
      </text>
    </comment>
    <comment ref="B13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Kan erstattes af anden bagkædeøvelse, men helst en hvor man kan lave en entydig 5RM - altså en øvelse, hvor man har entydige kriterier for hvad en god gentagelse er. Oplagte muligheder kunne være:
Dødløft fra skive
Rack pull</t>
        </r>
      </text>
    </comment>
    <comment ref="C13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Anders Nedergaard</author>
  </authors>
  <commentList>
    <comment ref="U12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G13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kør denne vægt på 12-20RM, altså noget forholdsvis let</t>
        </r>
      </text>
    </comment>
    <comment ref="U13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G14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U14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G15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U15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N17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N18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N31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N32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N33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N34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G36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U36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G37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  <comment ref="U37" authorId="0" shapeId="0">
      <text>
        <r>
          <rPr>
            <b/>
            <sz val="9"/>
            <color indexed="81"/>
            <rFont val="Verdana"/>
          </rPr>
          <t>Anders Nedergaard:</t>
        </r>
        <r>
          <rPr>
            <sz val="9"/>
            <color indexed="81"/>
            <rFont val="Verdana"/>
          </rPr>
          <t xml:space="preserve">
skal ligge omkring 10-15RM</t>
        </r>
      </text>
    </comment>
  </commentList>
</comments>
</file>

<file path=xl/sharedStrings.xml><?xml version="1.0" encoding="utf-8"?>
<sst xmlns="http://schemas.openxmlformats.org/spreadsheetml/2006/main" count="851" uniqueCount="99">
  <si>
    <t>Programmet</t>
    <phoneticPr fontId="1" type="noConversion"/>
  </si>
  <si>
    <t>vægte til backoff og lette dage</t>
    <phoneticPr fontId="1" type="noConversion"/>
  </si>
  <si>
    <t>afrunding</t>
    <phoneticPr fontId="1" type="noConversion"/>
  </si>
  <si>
    <t>"reel 5RM"</t>
    <phoneticPr fontId="1" type="noConversion"/>
  </si>
  <si>
    <t>operativ 5RM</t>
    <phoneticPr fontId="1" type="noConversion"/>
  </si>
  <si>
    <t>Reduktion af operativ 5RM i forhold til reel 5RM</t>
    <phoneticPr fontId="1" type="noConversion"/>
  </si>
  <si>
    <t>Øvelse</t>
    <phoneticPr fontId="1" type="noConversion"/>
  </si>
  <si>
    <t>kg</t>
    <phoneticPr fontId="1" type="noConversion"/>
  </si>
  <si>
    <t>kg</t>
    <phoneticPr fontId="1" type="noConversion"/>
  </si>
  <si>
    <t>kropsvægt+ekstra vægt</t>
    <phoneticPr fontId="1" type="noConversion"/>
  </si>
  <si>
    <t>C1</t>
    <phoneticPr fontId="1" type="noConversion"/>
  </si>
  <si>
    <t>C2</t>
    <phoneticPr fontId="1" type="noConversion"/>
  </si>
  <si>
    <t>Dag 1</t>
    <phoneticPr fontId="1" type="noConversion"/>
  </si>
  <si>
    <t>x</t>
    <phoneticPr fontId="1" type="noConversion"/>
  </si>
  <si>
    <t>@</t>
    <phoneticPr fontId="1" type="noConversion"/>
  </si>
  <si>
    <t>@</t>
    <phoneticPr fontId="1" type="noConversion"/>
  </si>
  <si>
    <t>Cabelcrunches</t>
    <phoneticPr fontId="1" type="noConversion"/>
  </si>
  <si>
    <t>Plate raises</t>
    <phoneticPr fontId="1" type="noConversion"/>
  </si>
  <si>
    <t>Stiff-arm kickbacks</t>
    <phoneticPr fontId="1" type="noConversion"/>
  </si>
  <si>
    <t>Seated incline DB curl</t>
    <phoneticPr fontId="1" type="noConversion"/>
  </si>
  <si>
    <t>Hammerl curl</t>
    <phoneticPr fontId="1" type="noConversion"/>
  </si>
  <si>
    <t>x</t>
    <phoneticPr fontId="1" type="noConversion"/>
  </si>
  <si>
    <t>Uge 8 (180 sekunder per supersæt på de tunge sæt, 120 på resten)</t>
    <phoneticPr fontId="1" type="noConversion"/>
  </si>
  <si>
    <t>Uge 9 (fri tid på sæt)</t>
    <phoneticPr fontId="1" type="noConversion"/>
  </si>
  <si>
    <t>Uge 10 (fri tid på sæt)</t>
    <phoneticPr fontId="1" type="noConversion"/>
  </si>
  <si>
    <t>Skriv kun de blå felter!</t>
    <phoneticPr fontId="1" type="noConversion"/>
  </si>
  <si>
    <t>x</t>
    <phoneticPr fontId="1" type="noConversion"/>
  </si>
  <si>
    <t>@</t>
    <phoneticPr fontId="1" type="noConversion"/>
  </si>
  <si>
    <t>B2a</t>
    <phoneticPr fontId="1" type="noConversion"/>
  </si>
  <si>
    <t>B2b</t>
    <phoneticPr fontId="1" type="noConversion"/>
  </si>
  <si>
    <t>kg</t>
    <phoneticPr fontId="1" type="noConversion"/>
  </si>
  <si>
    <t>Kropshævninger m. Vægt</t>
    <phoneticPr fontId="1" type="noConversion"/>
  </si>
  <si>
    <t>Dips m. Vægt</t>
    <phoneticPr fontId="1" type="noConversion"/>
  </si>
  <si>
    <t>6-8</t>
    <phoneticPr fontId="1" type="noConversion"/>
  </si>
  <si>
    <t>5-10</t>
    <phoneticPr fontId="1" type="noConversion"/>
  </si>
  <si>
    <t>6-8</t>
    <phoneticPr fontId="1" type="noConversion"/>
  </si>
  <si>
    <t>Side bends</t>
    <phoneticPr fontId="1" type="noConversion"/>
  </si>
  <si>
    <t>Læg</t>
    <phoneticPr fontId="1" type="noConversion"/>
  </si>
  <si>
    <t>Ext. Rotation</t>
    <phoneticPr fontId="1" type="noConversion"/>
  </si>
  <si>
    <t>Uge 1 (120 sekunder per supersæt)</t>
    <phoneticPr fontId="1" type="noConversion"/>
  </si>
  <si>
    <t>Uge 2 (120 sekunder per supersæt)</t>
    <phoneticPr fontId="1" type="noConversion"/>
  </si>
  <si>
    <t>Uge 3 (120 sekunder per supersæt)</t>
    <phoneticPr fontId="1" type="noConversion"/>
  </si>
  <si>
    <t>Uge 4 (120 sekunder per supersæt)</t>
    <phoneticPr fontId="1" type="noConversion"/>
  </si>
  <si>
    <t>Uge 5 (180 sekunder per supersæt på de tunge sæt, 120 på resten)</t>
    <phoneticPr fontId="1" type="noConversion"/>
  </si>
  <si>
    <t>Uge 6 (180 sekunder per supersæt på de tunge sæt, 120 på resten)</t>
    <phoneticPr fontId="1" type="noConversion"/>
  </si>
  <si>
    <t>Uge 7 (180 sekunder per supersæt på de tunge sæt, 120 på resten)</t>
    <phoneticPr fontId="1" type="noConversion"/>
  </si>
  <si>
    <t>armbøjninger (evt. m. Vægt)</t>
    <phoneticPr fontId="1" type="noConversion"/>
  </si>
  <si>
    <t>Rope triceps extensions</t>
    <phoneticPr fontId="1" type="noConversion"/>
  </si>
  <si>
    <t>C1</t>
    <phoneticPr fontId="1" type="noConversion"/>
  </si>
  <si>
    <t>C2</t>
    <phoneticPr fontId="1" type="noConversion"/>
  </si>
  <si>
    <t>Decline wt. Crunches</t>
    <phoneticPr fontId="1" type="noConversion"/>
  </si>
  <si>
    <t>ext rotations</t>
    <phoneticPr fontId="1" type="noConversion"/>
  </si>
  <si>
    <t>Læg</t>
    <phoneticPr fontId="1" type="noConversion"/>
  </si>
  <si>
    <t>x</t>
    <phoneticPr fontId="1" type="noConversion"/>
  </si>
  <si>
    <t>inverted rows</t>
    <phoneticPr fontId="1" type="noConversion"/>
  </si>
  <si>
    <t>Dag 2</t>
    <phoneticPr fontId="1" type="noConversion"/>
  </si>
  <si>
    <t>Dag 3</t>
    <phoneticPr fontId="1" type="noConversion"/>
  </si>
  <si>
    <t>Progression (imellem hver 2-ugers cyklus)</t>
    <phoneticPr fontId="1" type="noConversion"/>
  </si>
  <si>
    <t>(%)</t>
    <phoneticPr fontId="1" type="noConversion"/>
  </si>
  <si>
    <t>enhed</t>
    <phoneticPr fontId="1" type="noConversion"/>
  </si>
  <si>
    <t>@</t>
    <phoneticPr fontId="1" type="noConversion"/>
  </si>
  <si>
    <t>@</t>
    <phoneticPr fontId="1" type="noConversion"/>
  </si>
  <si>
    <t>C1</t>
    <phoneticPr fontId="1" type="noConversion"/>
  </si>
  <si>
    <t>Dag 1</t>
    <phoneticPr fontId="1" type="noConversion"/>
  </si>
  <si>
    <t>Frivend</t>
  </si>
  <si>
    <t>A1</t>
    <phoneticPr fontId="1" type="noConversion"/>
  </si>
  <si>
    <t>A2</t>
    <phoneticPr fontId="1" type="noConversion"/>
  </si>
  <si>
    <t>B1</t>
    <phoneticPr fontId="1" type="noConversion"/>
  </si>
  <si>
    <t>B1a</t>
    <phoneticPr fontId="1" type="noConversion"/>
  </si>
  <si>
    <t>B1b</t>
    <phoneticPr fontId="1" type="noConversion"/>
  </si>
  <si>
    <t>hanging leg raises</t>
    <phoneticPr fontId="1" type="noConversion"/>
  </si>
  <si>
    <t>leg curl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</si>
  <si>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</si>
  <si>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</si>
  <si>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</si>
  <si>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Bænkpres</t>
  </si>
  <si>
    <t>Military press</t>
  </si>
  <si>
    <t>Chest-supported rows</t>
  </si>
  <si>
    <t>Front squat</t>
  </si>
  <si>
    <t>Stats</t>
    <phoneticPr fontId="1" type="noConversion"/>
  </si>
  <si>
    <t>Kropsvægt</t>
    <phoneticPr fontId="1" type="noConversion"/>
  </si>
  <si>
    <t>Back squat</t>
    <phoneticPr fontId="1" type="noConversion"/>
  </si>
  <si>
    <t>Dødløft</t>
    <phoneticPr fontId="1" type="noConversion"/>
  </si>
  <si>
    <t>Dag 2</t>
    <phoneticPr fontId="1" type="noConversion"/>
  </si>
  <si>
    <t>A</t>
    <phoneticPr fontId="1" type="noConversion"/>
  </si>
  <si>
    <t>B2</t>
    <phoneticPr fontId="1" type="noConversion"/>
  </si>
  <si>
    <t>C1</t>
    <phoneticPr fontId="1" type="noConversion"/>
  </si>
  <si>
    <t>Skull crushers</t>
    <phoneticPr fontId="1" type="noConversion"/>
  </si>
  <si>
    <t>C2</t>
    <phoneticPr fontId="1" type="noConversion"/>
  </si>
  <si>
    <t>Dag 3</t>
    <phoneticPr fontId="1" type="noConversion"/>
  </si>
  <si>
    <t>A1</t>
    <phoneticPr fontId="1" type="noConversion"/>
  </si>
  <si>
    <t>A2</t>
    <phoneticPr fontId="1" type="noConversion"/>
  </si>
  <si>
    <t>B1</t>
    <phoneticPr fontId="1" type="noConversion"/>
  </si>
  <si>
    <t>B2a</t>
    <phoneticPr fontId="1" type="noConversion"/>
  </si>
  <si>
    <t>B2b</t>
    <phoneticPr fontId="1" type="noConversion"/>
  </si>
  <si>
    <t>Dag 1</t>
    <phoneticPr fontId="1" type="noConversion"/>
  </si>
  <si>
    <t>Dag 2</t>
    <phoneticPr fontId="1" type="noConversion"/>
  </si>
  <si>
    <t>Dag 3</t>
    <phoneticPr fontId="1" type="noConversion"/>
  </si>
  <si>
    <t>Rumænsk dødløft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</si>
</sst>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0"/>
      <name val="Verdana"/>
    </font>
    <font>
      <sz val="8"/>
      <name val="Verdana"/>
    </font>
    <font>
      <sz val="10"/>
      <color indexed="55"/>
      <name val="Verdana"/>
    </font>
    <font>
      <sz val="9"/>
      <color indexed="81"/>
      <name val="Verdana"/>
    </font>
    <font>
      <b/>
      <sz val="9"/>
      <color indexed="81"/>
      <name val="Verdana"/>
    </font>
    <font>
      <sz val="2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0" xfId="0" applyBorder="1"/>
    <xf numFmtId="164" fontId="0" fillId="0" borderId="2" xfId="0" applyNumberFormat="1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Fill="1" applyBorder="1"/>
    <xf numFmtId="0" fontId="0" fillId="2" borderId="0" xfId="0" applyFill="1" applyBorder="1"/>
    <xf numFmtId="0" fontId="2" fillId="0" borderId="0" xfId="0" applyFont="1" applyBorder="1"/>
    <xf numFmtId="0" fontId="0" fillId="2" borderId="2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2" xfId="0" applyFill="1" applyBorder="1"/>
    <xf numFmtId="16" fontId="0" fillId="0" borderId="0" xfId="0" quotePrefix="1" applyNumberFormat="1" applyBorder="1"/>
    <xf numFmtId="0" fontId="0" fillId="0" borderId="0" xfId="0" quotePrefix="1" applyBorder="1"/>
    <xf numFmtId="0" fontId="5" fillId="0" borderId="0" xfId="0" applyFont="1"/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36"/>
  <sheetViews>
    <sheetView tabSelected="1" workbookViewId="0">
      <selection activeCell="A4" sqref="A4"/>
    </sheetView>
  </sheetViews>
  <sheetFormatPr defaultColWidth="11" defaultRowHeight="12.75" x14ac:dyDescent="0.2"/>
  <cols>
    <col min="1" max="1" width="19.625" customWidth="1"/>
    <col min="2" max="3" width="17.75" customWidth="1"/>
  </cols>
  <sheetData>
    <row r="2" spans="1:3" x14ac:dyDescent="0.2">
      <c r="A2" t="s">
        <v>25</v>
      </c>
    </row>
    <row r="5" spans="1:3" ht="13.5" thickBot="1" x14ac:dyDescent="0.25"/>
    <row r="6" spans="1:3" ht="13.5" thickBot="1" x14ac:dyDescent="0.25">
      <c r="A6" s="1" t="s">
        <v>79</v>
      </c>
      <c r="B6" s="2"/>
      <c r="C6" s="3"/>
    </row>
    <row r="7" spans="1:3" ht="13.5" thickBot="1" x14ac:dyDescent="0.25">
      <c r="A7" s="11" t="s">
        <v>80</v>
      </c>
      <c r="B7" s="12" t="s">
        <v>8</v>
      </c>
      <c r="C7" s="26">
        <v>95</v>
      </c>
    </row>
    <row r="9" spans="1:3" ht="13.5" thickBot="1" x14ac:dyDescent="0.25"/>
    <row r="10" spans="1:3" x14ac:dyDescent="0.2">
      <c r="A10" s="1" t="s">
        <v>12</v>
      </c>
      <c r="B10" s="2" t="s">
        <v>55</v>
      </c>
      <c r="C10" s="3" t="s">
        <v>56</v>
      </c>
    </row>
    <row r="11" spans="1:3" x14ac:dyDescent="0.2">
      <c r="A11" s="20" t="s">
        <v>76</v>
      </c>
      <c r="B11" s="15" t="s">
        <v>75</v>
      </c>
      <c r="C11" s="17" t="s">
        <v>32</v>
      </c>
    </row>
    <row r="12" spans="1:3" x14ac:dyDescent="0.2">
      <c r="A12" s="20" t="s">
        <v>31</v>
      </c>
      <c r="B12" s="15" t="s">
        <v>77</v>
      </c>
      <c r="C12" s="17" t="s">
        <v>64</v>
      </c>
    </row>
    <row r="13" spans="1:3" ht="13.5" thickBot="1" x14ac:dyDescent="0.25">
      <c r="A13" s="21" t="s">
        <v>78</v>
      </c>
      <c r="B13" s="19" t="s">
        <v>82</v>
      </c>
      <c r="C13" s="18" t="s">
        <v>81</v>
      </c>
    </row>
    <row r="18" spans="1:4" ht="13.5" thickBot="1" x14ac:dyDescent="0.25"/>
    <row r="19" spans="1:4" x14ac:dyDescent="0.2">
      <c r="A19" s="1" t="s">
        <v>6</v>
      </c>
      <c r="B19" s="2"/>
      <c r="C19" s="2" t="s">
        <v>3</v>
      </c>
      <c r="D19" s="3" t="s">
        <v>4</v>
      </c>
    </row>
    <row r="20" spans="1:4" x14ac:dyDescent="0.2">
      <c r="A20" s="4" t="str">
        <f>B11</f>
        <v>Bænkpres</v>
      </c>
      <c r="B20" s="5" t="s">
        <v>30</v>
      </c>
      <c r="C20" s="15">
        <v>100</v>
      </c>
      <c r="D20" s="7">
        <f t="shared" ref="D20:D28" si="0">ROUND(((100-$D$36)/100*C20)/$D$35,0)*$D$35</f>
        <v>90</v>
      </c>
    </row>
    <row r="21" spans="1:4" x14ac:dyDescent="0.2">
      <c r="A21" s="4" t="str">
        <f>A11</f>
        <v>Military press</v>
      </c>
      <c r="B21" s="5" t="s">
        <v>8</v>
      </c>
      <c r="C21" s="15">
        <v>65</v>
      </c>
      <c r="D21" s="7">
        <f t="shared" si="0"/>
        <v>57.5</v>
      </c>
    </row>
    <row r="22" spans="1:4" x14ac:dyDescent="0.2">
      <c r="A22" s="4" t="str">
        <f>C11</f>
        <v>Dips m. Vægt</v>
      </c>
      <c r="B22" s="5" t="s">
        <v>9</v>
      </c>
      <c r="C22" s="15">
        <v>145</v>
      </c>
      <c r="D22" s="7">
        <f t="shared" si="0"/>
        <v>130</v>
      </c>
    </row>
    <row r="23" spans="1:4" x14ac:dyDescent="0.2">
      <c r="A23" s="4" t="str">
        <f>A12</f>
        <v>Kropshævninger m. Vægt</v>
      </c>
      <c r="B23" s="5" t="s">
        <v>9</v>
      </c>
      <c r="C23" s="15">
        <v>140</v>
      </c>
      <c r="D23" s="7">
        <f t="shared" si="0"/>
        <v>125</v>
      </c>
    </row>
    <row r="24" spans="1:4" x14ac:dyDescent="0.2">
      <c r="A24" s="4" t="str">
        <f>B12</f>
        <v>Chest-supported rows</v>
      </c>
      <c r="B24" s="5" t="s">
        <v>7</v>
      </c>
      <c r="C24" s="15">
        <v>85</v>
      </c>
      <c r="D24" s="7">
        <f t="shared" si="0"/>
        <v>77.5</v>
      </c>
    </row>
    <row r="25" spans="1:4" x14ac:dyDescent="0.2">
      <c r="A25" s="4" t="str">
        <f>C12</f>
        <v>Frivend</v>
      </c>
      <c r="B25" s="5" t="s">
        <v>8</v>
      </c>
      <c r="C25" s="15">
        <v>105</v>
      </c>
      <c r="D25" s="7">
        <f t="shared" si="0"/>
        <v>95</v>
      </c>
    </row>
    <row r="26" spans="1:4" x14ac:dyDescent="0.2">
      <c r="A26" s="4" t="str">
        <f>A13</f>
        <v>Front squat</v>
      </c>
      <c r="B26" s="5" t="s">
        <v>7</v>
      </c>
      <c r="C26" s="15">
        <v>115</v>
      </c>
      <c r="D26" s="7">
        <f t="shared" si="0"/>
        <v>102.5</v>
      </c>
    </row>
    <row r="27" spans="1:4" x14ac:dyDescent="0.2">
      <c r="A27" s="4" t="str">
        <f>C13</f>
        <v>Back squat</v>
      </c>
      <c r="B27" s="5" t="s">
        <v>7</v>
      </c>
      <c r="C27" s="15">
        <v>135</v>
      </c>
      <c r="D27" s="7">
        <f t="shared" si="0"/>
        <v>122.5</v>
      </c>
    </row>
    <row r="28" spans="1:4" ht="13.5" thickBot="1" x14ac:dyDescent="0.25">
      <c r="A28" s="8" t="str">
        <f>B13</f>
        <v>Dødløft</v>
      </c>
      <c r="B28" s="9" t="s">
        <v>8</v>
      </c>
      <c r="C28" s="19">
        <v>170</v>
      </c>
      <c r="D28" s="10">
        <f t="shared" si="0"/>
        <v>152.5</v>
      </c>
    </row>
    <row r="31" spans="1:4" ht="13.5" thickBot="1" x14ac:dyDescent="0.25"/>
    <row r="32" spans="1:4" x14ac:dyDescent="0.2">
      <c r="A32" s="1" t="s">
        <v>0</v>
      </c>
      <c r="B32" s="2"/>
      <c r="C32" s="2" t="s">
        <v>59</v>
      </c>
      <c r="D32" s="3"/>
    </row>
    <row r="33" spans="1:4" x14ac:dyDescent="0.2">
      <c r="A33" s="4" t="s">
        <v>1</v>
      </c>
      <c r="B33" s="5"/>
      <c r="C33" s="5" t="s">
        <v>58</v>
      </c>
      <c r="D33" s="17">
        <v>80</v>
      </c>
    </row>
    <row r="34" spans="1:4" x14ac:dyDescent="0.2">
      <c r="A34" s="4" t="s">
        <v>57</v>
      </c>
      <c r="B34" s="5"/>
      <c r="C34" s="5" t="s">
        <v>58</v>
      </c>
      <c r="D34" s="17">
        <v>3.5</v>
      </c>
    </row>
    <row r="35" spans="1:4" x14ac:dyDescent="0.2">
      <c r="A35" s="4" t="s">
        <v>2</v>
      </c>
      <c r="B35" s="5"/>
      <c r="C35" s="5" t="s">
        <v>8</v>
      </c>
      <c r="D35" s="17">
        <v>2.5</v>
      </c>
    </row>
    <row r="36" spans="1:4" ht="13.5" thickBot="1" x14ac:dyDescent="0.25">
      <c r="A36" s="8" t="s">
        <v>5</v>
      </c>
      <c r="B36" s="9"/>
      <c r="C36" s="9" t="s">
        <v>58</v>
      </c>
      <c r="D36" s="18">
        <v>10</v>
      </c>
    </row>
  </sheetData>
  <phoneticPr fontId="1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190"/>
  <sheetViews>
    <sheetView workbookViewId="0">
      <selection sqref="A1:U190"/>
    </sheetView>
  </sheetViews>
  <sheetFormatPr defaultColWidth="11" defaultRowHeight="12.75" x14ac:dyDescent="0.2"/>
  <cols>
    <col min="1" max="1" width="4" customWidth="1"/>
    <col min="2" max="2" width="18.375" customWidth="1"/>
    <col min="3" max="3" width="3.625" customWidth="1"/>
    <col min="4" max="4" width="2" customWidth="1"/>
    <col min="5" max="5" width="3.875" customWidth="1"/>
    <col min="6" max="6" width="2.875" customWidth="1"/>
    <col min="7" max="7" width="8.625" customWidth="1"/>
    <col min="8" max="8" width="3.75" customWidth="1"/>
    <col min="9" max="9" width="19.125" customWidth="1"/>
    <col min="10" max="10" width="2.875" customWidth="1"/>
    <col min="11" max="11" width="2" customWidth="1"/>
    <col min="12" max="12" width="3.875" customWidth="1"/>
    <col min="13" max="13" width="2.25" customWidth="1"/>
    <col min="14" max="14" width="9" customWidth="1"/>
    <col min="15" max="15" width="3.875" customWidth="1"/>
    <col min="16" max="16" width="15" customWidth="1"/>
    <col min="17" max="17" width="2.875" customWidth="1"/>
    <col min="18" max="18" width="1.75" customWidth="1"/>
    <col min="19" max="19" width="3.625" customWidth="1"/>
    <col min="20" max="20" width="3" customWidth="1"/>
    <col min="21" max="21" width="9.625" customWidth="1"/>
  </cols>
  <sheetData>
    <row r="2" spans="1:21" ht="25.5" thickBot="1" x14ac:dyDescent="0.35">
      <c r="A2" s="25" t="s">
        <v>39</v>
      </c>
    </row>
    <row r="3" spans="1:21" ht="13.5" thickBot="1" x14ac:dyDescent="0.25">
      <c r="A3" s="11" t="s">
        <v>63</v>
      </c>
      <c r="B3" s="12"/>
      <c r="C3" s="12"/>
      <c r="D3" s="12"/>
      <c r="E3" s="12"/>
      <c r="F3" s="12"/>
      <c r="G3" s="13"/>
      <c r="H3" s="11" t="s">
        <v>83</v>
      </c>
      <c r="I3" s="12"/>
      <c r="J3" s="12"/>
      <c r="K3" s="12"/>
      <c r="L3" s="12"/>
      <c r="M3" s="12"/>
      <c r="N3" s="13"/>
      <c r="O3" s="11" t="s">
        <v>89</v>
      </c>
      <c r="P3" s="12"/>
      <c r="Q3" s="12"/>
      <c r="R3" s="12"/>
      <c r="S3" s="12"/>
      <c r="T3" s="12"/>
      <c r="U3" s="13"/>
    </row>
    <row r="4" spans="1:21" x14ac:dyDescent="0.2">
      <c r="A4" s="4" t="s">
        <v>65</v>
      </c>
      <c r="B4" s="5" t="str">
        <f>'Stats og tweaks'!A$11</f>
        <v>Military press</v>
      </c>
      <c r="C4" s="5">
        <v>1</v>
      </c>
      <c r="D4" s="5" t="s">
        <v>73</v>
      </c>
      <c r="E4" s="5">
        <v>5</v>
      </c>
      <c r="F4" s="5" t="s">
        <v>60</v>
      </c>
      <c r="G4" s="6">
        <f>ROUND((0.6*'Stats og tweaks'!$D$21)/'Stats og tweaks'!$D$35,0)*'Stats og tweaks'!$D$35</f>
        <v>35</v>
      </c>
      <c r="H4" s="4" t="s">
        <v>84</v>
      </c>
      <c r="I4" s="5" t="str">
        <f>'Stats og tweaks'!B$13</f>
        <v>Dødløft</v>
      </c>
      <c r="J4" s="5">
        <v>1</v>
      </c>
      <c r="K4" s="5" t="s">
        <v>73</v>
      </c>
      <c r="L4" s="5">
        <v>5</v>
      </c>
      <c r="M4" s="5" t="s">
        <v>61</v>
      </c>
      <c r="N4" s="6">
        <f>ROUND((0.6*'Stats og tweaks'!$D$28)/'Stats og tweaks'!$D$35,0)*'Stats og tweaks'!$D$35</f>
        <v>92.5</v>
      </c>
      <c r="O4" s="4" t="s">
        <v>65</v>
      </c>
      <c r="P4" s="5" t="str">
        <f>'Stats og tweaks'!C$11</f>
        <v>Dips m. Vægt</v>
      </c>
      <c r="Q4" s="5">
        <v>1</v>
      </c>
      <c r="R4" s="5" t="s">
        <v>73</v>
      </c>
      <c r="S4" s="5">
        <v>5</v>
      </c>
      <c r="T4" s="5" t="s">
        <v>61</v>
      </c>
      <c r="U4" s="6" t="str">
        <f>IF(ROUND(((0.6*'Stats og tweaks'!$D$22)-'Stats og tweaks'!$C$7)/'Stats og tweaks'!$D$35,0)*'Stats og tweaks'!$D$35&lt;0, "kropsvægt", ROUND(((0.6*'Stats og tweaks'!$D$22)-'Stats og tweaks'!$C$7)/'Stats og tweaks'!$D$35,0)*'Stats og tweaks'!$D$35)</f>
        <v>kropsvægt</v>
      </c>
    </row>
    <row r="5" spans="1:21" x14ac:dyDescent="0.2">
      <c r="A5" s="4"/>
      <c r="B5" s="16" t="str">
        <f>'Stats og tweaks'!A$11</f>
        <v>Military press</v>
      </c>
      <c r="C5" s="5">
        <v>1</v>
      </c>
      <c r="D5" s="5" t="s">
        <v>72</v>
      </c>
      <c r="E5" s="5">
        <v>5</v>
      </c>
      <c r="F5" s="5" t="s">
        <v>60</v>
      </c>
      <c r="G5" s="6">
        <f>ROUND((0.7*'Stats og tweaks'!$D$21)/'Stats og tweaks'!$D$35,0)*'Stats og tweaks'!$D$35</f>
        <v>40</v>
      </c>
      <c r="H5" s="4"/>
      <c r="I5" s="16" t="str">
        <f>'Stats og tweaks'!B$13</f>
        <v>Dødløft</v>
      </c>
      <c r="J5" s="5">
        <v>1</v>
      </c>
      <c r="K5" s="5" t="s">
        <v>72</v>
      </c>
      <c r="L5" s="5">
        <v>5</v>
      </c>
      <c r="M5" s="5" t="s">
        <v>61</v>
      </c>
      <c r="N5" s="6">
        <f>ROUND((0.7*'Stats og tweaks'!$D$28)/'Stats og tweaks'!$D$35,0)*'Stats og tweaks'!$D$35</f>
        <v>107.5</v>
      </c>
      <c r="O5" s="4"/>
      <c r="P5" s="16" t="str">
        <f>'Stats og tweaks'!C$11</f>
        <v>Dips m. Vægt</v>
      </c>
      <c r="Q5" s="5">
        <v>1</v>
      </c>
      <c r="R5" s="5" t="s">
        <v>72</v>
      </c>
      <c r="S5" s="5">
        <v>5</v>
      </c>
      <c r="T5" s="5" t="s">
        <v>61</v>
      </c>
      <c r="U5" s="6" t="str">
        <f>IF(ROUND(((0.7*'Stats og tweaks'!$D$22)-'Stats og tweaks'!$C$7)/'Stats og tweaks'!$D$35,0)*'Stats og tweaks'!$D$35&lt;0, "kropsvægt", ROUND(((0.7*'Stats og tweaks'!$D$22)-'Stats og tweaks'!$C$7)/'Stats og tweaks'!$D$35,0)*'Stats og tweaks'!$D$35)</f>
        <v>kropsvægt</v>
      </c>
    </row>
    <row r="6" spans="1:21" x14ac:dyDescent="0.2">
      <c r="A6" s="4"/>
      <c r="B6" s="16" t="str">
        <f>'Stats og tweaks'!A$11</f>
        <v>Military press</v>
      </c>
      <c r="C6" s="5">
        <v>1</v>
      </c>
      <c r="D6" s="5" t="s">
        <v>72</v>
      </c>
      <c r="E6" s="5">
        <v>5</v>
      </c>
      <c r="F6" s="5" t="s">
        <v>60</v>
      </c>
      <c r="G6" s="6">
        <f>ROUND((0.8*'Stats og tweaks'!$D$21)/'Stats og tweaks'!$D$35,0)*'Stats og tweaks'!$D$35</f>
        <v>45</v>
      </c>
      <c r="H6" s="4"/>
      <c r="I6" s="16" t="str">
        <f>'Stats og tweaks'!B$13</f>
        <v>Dødløft</v>
      </c>
      <c r="J6" s="5">
        <v>1</v>
      </c>
      <c r="K6" s="5" t="s">
        <v>72</v>
      </c>
      <c r="L6" s="5">
        <v>5</v>
      </c>
      <c r="M6" s="5" t="s">
        <v>61</v>
      </c>
      <c r="N6" s="6">
        <f>ROUND((0.8*'Stats og tweaks'!$D$28)/'Stats og tweaks'!$D$35,0)*'Stats og tweaks'!$D$35</f>
        <v>122.5</v>
      </c>
      <c r="O6" s="4"/>
      <c r="P6" s="16" t="str">
        <f>'Stats og tweaks'!C$11</f>
        <v>Dips m. Vægt</v>
      </c>
      <c r="Q6" s="5">
        <v>1</v>
      </c>
      <c r="R6" s="5" t="s">
        <v>72</v>
      </c>
      <c r="S6" s="5">
        <v>5</v>
      </c>
      <c r="T6" s="5" t="s">
        <v>61</v>
      </c>
      <c r="U6" s="6">
        <f>IF(ROUND(((0.8*'Stats og tweaks'!$D$22)-'Stats og tweaks'!$C$7)/'Stats og tweaks'!$D$35,0)*'Stats og tweaks'!$D$35&lt;0, "kropsvægt", ROUND(((0.8*'Stats og tweaks'!$D$22)-'Stats og tweaks'!$C$7)/'Stats og tweaks'!$D$35,0)*'Stats og tweaks'!$D$35)</f>
        <v>10</v>
      </c>
    </row>
    <row r="7" spans="1:21" x14ac:dyDescent="0.2">
      <c r="A7" s="4"/>
      <c r="B7" s="16" t="str">
        <f>'Stats og tweaks'!A$11</f>
        <v>Military press</v>
      </c>
      <c r="C7" s="5">
        <v>1</v>
      </c>
      <c r="D7" s="5" t="s">
        <v>72</v>
      </c>
      <c r="E7" s="5">
        <v>5</v>
      </c>
      <c r="F7" s="5" t="s">
        <v>60</v>
      </c>
      <c r="G7" s="6">
        <f>ROUND((0.9*'Stats og tweaks'!$D$21)/'Stats og tweaks'!$D$35,0)*'Stats og tweaks'!$D$35</f>
        <v>52.5</v>
      </c>
      <c r="H7" s="4"/>
      <c r="I7" s="16" t="str">
        <f>'Stats og tweaks'!B$13</f>
        <v>Dødløft</v>
      </c>
      <c r="J7" s="5">
        <v>1</v>
      </c>
      <c r="K7" s="5" t="s">
        <v>72</v>
      </c>
      <c r="L7" s="5">
        <v>5</v>
      </c>
      <c r="M7" s="5" t="s">
        <v>61</v>
      </c>
      <c r="N7" s="6">
        <f>ROUND((0.9*'Stats og tweaks'!$D$28)/'Stats og tweaks'!$D$35,0)*'Stats og tweaks'!$D$35</f>
        <v>137.5</v>
      </c>
      <c r="O7" s="4"/>
      <c r="P7" s="16" t="str">
        <f>'Stats og tweaks'!C$11</f>
        <v>Dips m. Vægt</v>
      </c>
      <c r="Q7" s="5">
        <v>1</v>
      </c>
      <c r="R7" s="5" t="s">
        <v>72</v>
      </c>
      <c r="S7" s="5">
        <v>5</v>
      </c>
      <c r="T7" s="5" t="s">
        <v>61</v>
      </c>
      <c r="U7" s="6">
        <f>IF(ROUND(((0.9*'Stats og tweaks'!$D$22)-'Stats og tweaks'!$C$7)/'Stats og tweaks'!$D$35,0)*'Stats og tweaks'!$D$35&lt;0, "kropsvægt", ROUND(((0.9*'Stats og tweaks'!$D$22)-'Stats og tweaks'!$C$7)/'Stats og tweaks'!$D$35,0)*'Stats og tweaks'!$D$35)</f>
        <v>22.5</v>
      </c>
    </row>
    <row r="8" spans="1:21" x14ac:dyDescent="0.2">
      <c r="A8" s="4"/>
      <c r="B8" s="16" t="str">
        <f>'Stats og tweaks'!A$11</f>
        <v>Military press</v>
      </c>
      <c r="C8" s="5">
        <v>1</v>
      </c>
      <c r="D8" s="5" t="s">
        <v>73</v>
      </c>
      <c r="E8" s="5">
        <v>5</v>
      </c>
      <c r="F8" s="5" t="s">
        <v>60</v>
      </c>
      <c r="G8" s="6">
        <f>ROUND((1*'Stats og tweaks'!$D$21)/'Stats og tweaks'!$D$35,0)*'Stats og tweaks'!$D$35</f>
        <v>57.5</v>
      </c>
      <c r="H8" s="4"/>
      <c r="I8" s="16" t="str">
        <f>'Stats og tweaks'!B$13</f>
        <v>Dødløft</v>
      </c>
      <c r="J8" s="5">
        <v>1</v>
      </c>
      <c r="K8" s="5" t="s">
        <v>73</v>
      </c>
      <c r="L8" s="5">
        <v>5</v>
      </c>
      <c r="M8" s="5" t="s">
        <v>61</v>
      </c>
      <c r="N8" s="6">
        <f>ROUND((1*'Stats og tweaks'!$D$28)/'Stats og tweaks'!$D$35,0)*'Stats og tweaks'!$D$35</f>
        <v>152.5</v>
      </c>
      <c r="O8" s="4"/>
      <c r="P8" s="16" t="str">
        <f>'Stats og tweaks'!C$11</f>
        <v>Dips m. Vægt</v>
      </c>
      <c r="Q8" s="5">
        <v>1</v>
      </c>
      <c r="R8" s="5" t="s">
        <v>73</v>
      </c>
      <c r="S8" s="5">
        <v>5</v>
      </c>
      <c r="T8" s="5" t="s">
        <v>61</v>
      </c>
      <c r="U8" s="6">
        <f>IF(ROUND(((1*'Stats og tweaks'!$D$22)-'Stats og tweaks'!$C$7)/'Stats og tweaks'!$D$35,0)*'Stats og tweaks'!$D$35&lt;0, "kropsvægt", ROUND(((1*'Stats og tweaks'!$D$22)-'Stats og tweaks'!$C$7)/'Stats og tweaks'!$D$35,0)*'Stats og tweaks'!$D$35)</f>
        <v>35</v>
      </c>
    </row>
    <row r="9" spans="1:21" x14ac:dyDescent="0.2">
      <c r="A9" s="4"/>
      <c r="B9" s="16" t="str">
        <f>'Stats og tweaks'!A$11</f>
        <v>Military press</v>
      </c>
      <c r="C9" s="5">
        <v>5</v>
      </c>
      <c r="D9" s="5" t="s">
        <v>72</v>
      </c>
      <c r="E9" s="5">
        <v>5</v>
      </c>
      <c r="F9" s="5" t="s">
        <v>60</v>
      </c>
      <c r="G9" s="6">
        <f>ROUND((('Stats og tweaks'!$D$33)/100*'Stats og tweaks'!$D$21)/'Stats og tweaks'!$D$35,0)*'Stats og tweaks'!$D$35</f>
        <v>45</v>
      </c>
      <c r="H9" s="4"/>
      <c r="I9" s="16" t="str">
        <f>'Stats og tweaks'!B$13</f>
        <v>Dødløft</v>
      </c>
      <c r="J9" s="5">
        <v>5</v>
      </c>
      <c r="K9" s="5" t="s">
        <v>72</v>
      </c>
      <c r="L9" s="5">
        <v>5</v>
      </c>
      <c r="M9" s="5" t="s">
        <v>61</v>
      </c>
      <c r="N9" s="6">
        <f>ROUND((('Stats og tweaks'!$D$33)/100*'Stats og tweaks'!$D$28)/'Stats og tweaks'!$D$35,0)*'Stats og tweaks'!$D$35</f>
        <v>122.5</v>
      </c>
      <c r="O9" s="4"/>
      <c r="P9" s="16" t="str">
        <f>'Stats og tweaks'!C$11</f>
        <v>Dips m. Vægt</v>
      </c>
      <c r="Q9" s="5">
        <v>5</v>
      </c>
      <c r="R9" s="5" t="s">
        <v>72</v>
      </c>
      <c r="S9" s="5">
        <v>5</v>
      </c>
      <c r="T9" s="5" t="s">
        <v>61</v>
      </c>
      <c r="U9" s="6">
        <f>IF(ROUND(((('Stats og tweaks'!$D$33)/100*'Stats og tweaks'!$D$22)-'Stats og tweaks'!$C$7)/'Stats og tweaks'!$D$35,0)*'Stats og tweaks'!$D$35&lt;0, "kropsvægt", ROUND(((('Stats og tweaks'!$D$33)/100*'Stats og tweaks'!$D$22)-'Stats og tweaks'!$C$7)/'Stats og tweaks'!$D$35,0)*'Stats og tweaks'!$D$35)</f>
        <v>10</v>
      </c>
    </row>
    <row r="10" spans="1:21" x14ac:dyDescent="0.2">
      <c r="A10" s="4" t="s">
        <v>66</v>
      </c>
      <c r="B10" s="5" t="str">
        <f>'Stats og tweaks'!A$12</f>
        <v>Kropshævninger m. Vægt</v>
      </c>
      <c r="C10" s="5">
        <v>10</v>
      </c>
      <c r="D10" s="5" t="s">
        <v>72</v>
      </c>
      <c r="E10" s="5">
        <v>5</v>
      </c>
      <c r="F10" s="5" t="s">
        <v>60</v>
      </c>
      <c r="G10" s="6">
        <f>IF(ROUND(((('Stats og tweaks'!$D$33)/100*'Stats og tweaks'!$D$23)-'Stats og tweaks'!$C$7)/'Stats og tweaks'!$D$35,0)*'Stats og tweaks'!$D$35&lt;0, "kropsvægt", ROUND(((('Stats og tweaks'!$D$33)/100*'Stats og tweaks'!$D$23)-'Stats og tweaks'!$C$7)/'Stats og tweaks'!$D$35,0)*'Stats og tweaks'!$D$35)</f>
        <v>5</v>
      </c>
      <c r="H10" s="4" t="s">
        <v>67</v>
      </c>
      <c r="I10" s="5" t="str">
        <f>'Stats og tweaks'!B$12</f>
        <v>Chest-supported rows</v>
      </c>
      <c r="J10" s="5">
        <v>1</v>
      </c>
      <c r="K10" s="5" t="s">
        <v>73</v>
      </c>
      <c r="L10" s="5">
        <v>5</v>
      </c>
      <c r="M10" s="5" t="s">
        <v>61</v>
      </c>
      <c r="N10" s="6">
        <f>ROUND((0.6*'Stats og tweaks'!$D$24)/'Stats og tweaks'!$D$35,0)*'Stats og tweaks'!$D$35</f>
        <v>47.5</v>
      </c>
      <c r="O10" s="4" t="s">
        <v>66</v>
      </c>
      <c r="P10" s="5" t="str">
        <f>'Stats og tweaks'!C$12</f>
        <v>Frivend</v>
      </c>
      <c r="Q10" s="5">
        <v>10</v>
      </c>
      <c r="R10" s="5" t="s">
        <v>74</v>
      </c>
      <c r="S10" s="5">
        <v>5</v>
      </c>
      <c r="T10" s="5" t="s">
        <v>61</v>
      </c>
      <c r="U10" s="6">
        <f>ROUND((('Stats og tweaks'!$D$33)/100*U33)/'Stats og tweaks'!$D$35,0)*'Stats og tweaks'!$D$35</f>
        <v>75</v>
      </c>
    </row>
    <row r="11" spans="1:21" x14ac:dyDescent="0.2">
      <c r="A11" s="4" t="s">
        <v>67</v>
      </c>
      <c r="B11" s="5" t="str">
        <f>'Stats og tweaks'!A$13</f>
        <v>Front squat</v>
      </c>
      <c r="C11" s="5">
        <v>10</v>
      </c>
      <c r="D11" s="5" t="s">
        <v>73</v>
      </c>
      <c r="E11" s="5">
        <v>5</v>
      </c>
      <c r="F11" s="5" t="s">
        <v>60</v>
      </c>
      <c r="G11" s="6">
        <f>ROUND((('Stats og tweaks'!$D$33)/100*'Stats og tweaks'!$D$26)/'Stats og tweaks'!$D$35,0)*'Stats og tweaks'!$D$35</f>
        <v>82.5</v>
      </c>
      <c r="H11" s="4"/>
      <c r="I11" s="16" t="str">
        <f>'Stats og tweaks'!B$12</f>
        <v>Chest-supported rows</v>
      </c>
      <c r="J11" s="5">
        <v>1</v>
      </c>
      <c r="K11" s="5" t="s">
        <v>72</v>
      </c>
      <c r="L11" s="5">
        <v>5</v>
      </c>
      <c r="M11" s="5" t="s">
        <v>61</v>
      </c>
      <c r="N11" s="6">
        <f>ROUND((0.7*'Stats og tweaks'!$D$24)/'Stats og tweaks'!$D$35,0)*'Stats og tweaks'!$D$35</f>
        <v>55</v>
      </c>
      <c r="O11" s="4" t="s">
        <v>67</v>
      </c>
      <c r="P11" s="5" t="str">
        <f>'Stats og tweaks'!C$13</f>
        <v>Back squat</v>
      </c>
      <c r="Q11" s="5">
        <v>10</v>
      </c>
      <c r="R11" s="5" t="s">
        <v>73</v>
      </c>
      <c r="S11" s="5">
        <v>5</v>
      </c>
      <c r="T11" s="5" t="s">
        <v>61</v>
      </c>
      <c r="U11" s="6">
        <f>ROUND((('Stats og tweaks'!$D$33)/100*'Stats og tweaks'!$D$27)/'Stats og tweaks'!$D$35,0)*'Stats og tweaks'!$D$35</f>
        <v>97.5</v>
      </c>
    </row>
    <row r="12" spans="1:21" x14ac:dyDescent="0.2">
      <c r="A12" s="4" t="s">
        <v>28</v>
      </c>
      <c r="B12" s="15" t="s">
        <v>70</v>
      </c>
      <c r="C12" s="5">
        <v>5</v>
      </c>
      <c r="D12" s="5" t="s">
        <v>72</v>
      </c>
      <c r="E12" s="24" t="s">
        <v>34</v>
      </c>
      <c r="F12" s="5" t="s">
        <v>60</v>
      </c>
      <c r="G12" s="17"/>
      <c r="H12" s="4"/>
      <c r="I12" s="16" t="str">
        <f>'Stats og tweaks'!B$12</f>
        <v>Chest-supported rows</v>
      </c>
      <c r="J12" s="5">
        <v>1</v>
      </c>
      <c r="K12" s="5" t="s">
        <v>72</v>
      </c>
      <c r="L12" s="5">
        <v>5</v>
      </c>
      <c r="M12" s="5" t="s">
        <v>61</v>
      </c>
      <c r="N12" s="6">
        <f>ROUND((0.8*'Stats og tweaks'!$D$24)/'Stats og tweaks'!$D$35,0)*'Stats og tweaks'!$D$35</f>
        <v>62.5</v>
      </c>
      <c r="O12" s="4" t="s">
        <v>68</v>
      </c>
      <c r="P12" s="15" t="s">
        <v>16</v>
      </c>
      <c r="Q12" s="5">
        <v>5</v>
      </c>
      <c r="R12" s="5" t="s">
        <v>72</v>
      </c>
      <c r="S12" s="5">
        <v>5</v>
      </c>
      <c r="T12" s="5" t="s">
        <v>61</v>
      </c>
      <c r="U12" s="17"/>
    </row>
    <row r="13" spans="1:21" x14ac:dyDescent="0.2">
      <c r="A13" s="4" t="s">
        <v>29</v>
      </c>
      <c r="B13" s="15" t="s">
        <v>98</v>
      </c>
      <c r="C13" s="5">
        <v>5</v>
      </c>
      <c r="D13" s="5" t="s">
        <v>73</v>
      </c>
      <c r="E13" s="23" t="s">
        <v>33</v>
      </c>
      <c r="F13" s="5" t="s">
        <v>60</v>
      </c>
      <c r="G13" s="17"/>
      <c r="H13" s="4"/>
      <c r="I13" s="16" t="str">
        <f>'Stats og tweaks'!B$12</f>
        <v>Chest-supported rows</v>
      </c>
      <c r="J13" s="5">
        <v>1</v>
      </c>
      <c r="K13" s="5" t="s">
        <v>72</v>
      </c>
      <c r="L13" s="5">
        <v>5</v>
      </c>
      <c r="M13" s="5" t="s">
        <v>61</v>
      </c>
      <c r="N13" s="6">
        <f>ROUND((0.9*'Stats og tweaks'!$D$24)/'Stats og tweaks'!$D$35,0)*'Stats og tweaks'!$D$35</f>
        <v>70</v>
      </c>
      <c r="O13" s="4" t="s">
        <v>69</v>
      </c>
      <c r="P13" s="15" t="s">
        <v>71</v>
      </c>
      <c r="Q13" s="5">
        <v>5</v>
      </c>
      <c r="R13" s="5" t="s">
        <v>73</v>
      </c>
      <c r="S13" s="24" t="s">
        <v>35</v>
      </c>
      <c r="T13" s="5" t="s">
        <v>61</v>
      </c>
      <c r="U13" s="17"/>
    </row>
    <row r="14" spans="1:21" x14ac:dyDescent="0.2">
      <c r="A14" s="4" t="s">
        <v>62</v>
      </c>
      <c r="B14" s="15" t="s">
        <v>17</v>
      </c>
      <c r="C14" s="14">
        <v>10</v>
      </c>
      <c r="D14" s="14" t="s">
        <v>13</v>
      </c>
      <c r="E14" s="14">
        <v>5</v>
      </c>
      <c r="F14" s="14" t="s">
        <v>14</v>
      </c>
      <c r="G14" s="17"/>
      <c r="H14" s="4"/>
      <c r="I14" s="16" t="str">
        <f>'Stats og tweaks'!B$12</f>
        <v>Chest-supported rows</v>
      </c>
      <c r="J14" s="5">
        <v>1</v>
      </c>
      <c r="K14" s="5" t="s">
        <v>73</v>
      </c>
      <c r="L14" s="5">
        <v>5</v>
      </c>
      <c r="M14" s="5" t="s">
        <v>61</v>
      </c>
      <c r="N14" s="6">
        <f>ROUND((1*'Stats og tweaks'!$D$24)/'Stats og tweaks'!$D$35,0)*'Stats og tweaks'!$D$35</f>
        <v>77.5</v>
      </c>
      <c r="O14" s="4" t="s">
        <v>86</v>
      </c>
      <c r="P14" s="15" t="s">
        <v>52</v>
      </c>
      <c r="Q14" s="14">
        <v>10</v>
      </c>
      <c r="R14" s="14" t="s">
        <v>13</v>
      </c>
      <c r="S14" s="14">
        <v>5</v>
      </c>
      <c r="T14" s="5" t="s">
        <v>61</v>
      </c>
      <c r="U14" s="17"/>
    </row>
    <row r="15" spans="1:21" x14ac:dyDescent="0.2">
      <c r="A15" s="4" t="s">
        <v>88</v>
      </c>
      <c r="B15" s="15" t="s">
        <v>18</v>
      </c>
      <c r="C15" s="14">
        <v>10</v>
      </c>
      <c r="D15" s="14" t="s">
        <v>13</v>
      </c>
      <c r="E15" s="14">
        <v>5</v>
      </c>
      <c r="F15" s="14" t="s">
        <v>15</v>
      </c>
      <c r="G15" s="17"/>
      <c r="H15" s="4"/>
      <c r="I15" s="16" t="str">
        <f>'Stats og tweaks'!B$12</f>
        <v>Chest-supported rows</v>
      </c>
      <c r="J15" s="5">
        <v>5</v>
      </c>
      <c r="K15" s="5" t="s">
        <v>72</v>
      </c>
      <c r="L15" s="5">
        <v>5</v>
      </c>
      <c r="M15" s="5" t="s">
        <v>61</v>
      </c>
      <c r="N15" s="6">
        <f>ROUND((('Stats og tweaks'!$D$33)/100*'Stats og tweaks'!$D$24)/'Stats og tweaks'!$D$35,0)*'Stats og tweaks'!$D$35</f>
        <v>62.5</v>
      </c>
      <c r="O15" s="4" t="s">
        <v>88</v>
      </c>
      <c r="P15" s="15" t="s">
        <v>51</v>
      </c>
      <c r="Q15" s="14">
        <v>10</v>
      </c>
      <c r="R15" s="14" t="s">
        <v>53</v>
      </c>
      <c r="S15" s="14">
        <v>5</v>
      </c>
      <c r="T15" s="14" t="s">
        <v>14</v>
      </c>
      <c r="U15" s="17"/>
    </row>
    <row r="16" spans="1:21" x14ac:dyDescent="0.2">
      <c r="A16" s="4"/>
      <c r="B16" s="5"/>
      <c r="C16" s="5"/>
      <c r="D16" s="5"/>
      <c r="E16" s="5"/>
      <c r="F16" s="5"/>
      <c r="G16" s="7"/>
      <c r="H16" s="4" t="s">
        <v>85</v>
      </c>
      <c r="I16" s="5" t="str">
        <f>'Stats og tweaks'!B$11</f>
        <v>Bænkpres</v>
      </c>
      <c r="J16" s="5">
        <v>10</v>
      </c>
      <c r="K16" s="5" t="s">
        <v>74</v>
      </c>
      <c r="L16" s="5">
        <v>5</v>
      </c>
      <c r="M16" s="5" t="s">
        <v>61</v>
      </c>
      <c r="N16" s="6">
        <f>ROUND((('Stats og tweaks'!$D$33)/100*'Stats og tweaks'!$D$20)/'Stats og tweaks'!$D$35,0)*'Stats og tweaks'!$D$35</f>
        <v>72.5</v>
      </c>
      <c r="O16" s="4"/>
      <c r="P16" s="5"/>
      <c r="Q16" s="5"/>
      <c r="R16" s="5"/>
      <c r="S16" s="5"/>
      <c r="T16" s="5"/>
      <c r="U16" s="7"/>
    </row>
    <row r="17" spans="1:21" x14ac:dyDescent="0.2">
      <c r="A17" s="4"/>
      <c r="B17" s="5"/>
      <c r="C17" s="5"/>
      <c r="D17" s="5"/>
      <c r="E17" s="5"/>
      <c r="F17" s="5"/>
      <c r="G17" s="7"/>
      <c r="H17" s="4" t="s">
        <v>86</v>
      </c>
      <c r="I17" s="15" t="s">
        <v>19</v>
      </c>
      <c r="J17" s="5">
        <v>10</v>
      </c>
      <c r="K17" s="5" t="s">
        <v>73</v>
      </c>
      <c r="L17" s="5">
        <v>5</v>
      </c>
      <c r="M17" s="5" t="s">
        <v>61</v>
      </c>
      <c r="N17" s="17"/>
      <c r="O17" s="4"/>
      <c r="P17" s="5"/>
      <c r="Q17" s="5"/>
      <c r="R17" s="5"/>
      <c r="S17" s="5"/>
      <c r="T17" s="5"/>
      <c r="U17" s="7"/>
    </row>
    <row r="18" spans="1:21" x14ac:dyDescent="0.2">
      <c r="A18" s="4"/>
      <c r="B18" s="5"/>
      <c r="C18" s="5"/>
      <c r="D18" s="5"/>
      <c r="E18" s="5"/>
      <c r="F18" s="5"/>
      <c r="G18" s="7"/>
      <c r="H18" s="4" t="s">
        <v>88</v>
      </c>
      <c r="I18" s="15" t="s">
        <v>87</v>
      </c>
      <c r="J18" s="5">
        <v>10</v>
      </c>
      <c r="K18" s="5" t="s">
        <v>73</v>
      </c>
      <c r="L18" s="5">
        <v>5</v>
      </c>
      <c r="M18" s="5" t="s">
        <v>61</v>
      </c>
      <c r="N18" s="17"/>
      <c r="O18" s="4"/>
      <c r="P18" s="5"/>
      <c r="Q18" s="5"/>
      <c r="R18" s="5"/>
      <c r="S18" s="5"/>
      <c r="T18" s="5"/>
      <c r="U18" s="7"/>
    </row>
    <row r="19" spans="1:21" ht="13.5" thickBot="1" x14ac:dyDescent="0.25">
      <c r="A19" s="8"/>
      <c r="B19" s="9"/>
      <c r="C19" s="9"/>
      <c r="D19" s="9"/>
      <c r="E19" s="9"/>
      <c r="F19" s="9"/>
      <c r="G19" s="10"/>
      <c r="H19" s="8"/>
      <c r="I19" s="9"/>
      <c r="J19" s="9"/>
      <c r="K19" s="9"/>
      <c r="L19" s="9"/>
      <c r="M19" s="9"/>
      <c r="N19" s="10"/>
      <c r="O19" s="8"/>
      <c r="P19" s="9"/>
      <c r="Q19" s="9"/>
      <c r="R19" s="9"/>
      <c r="S19" s="9"/>
      <c r="T19" s="9"/>
      <c r="U19" s="10"/>
    </row>
    <row r="21" spans="1:21" ht="25.5" thickBot="1" x14ac:dyDescent="0.35">
      <c r="A21" s="25" t="s">
        <v>40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3.5" thickBot="1" x14ac:dyDescent="0.25">
      <c r="A22" s="11" t="s">
        <v>95</v>
      </c>
      <c r="B22" s="12"/>
      <c r="C22" s="12"/>
      <c r="D22" s="12"/>
      <c r="E22" s="12"/>
      <c r="F22" s="12"/>
      <c r="G22" s="13"/>
      <c r="H22" s="11" t="s">
        <v>96</v>
      </c>
      <c r="I22" s="12"/>
      <c r="J22" s="12"/>
      <c r="K22" s="12"/>
      <c r="L22" s="12"/>
      <c r="M22" s="12"/>
      <c r="N22" s="13"/>
      <c r="O22" s="11" t="s">
        <v>97</v>
      </c>
      <c r="P22" s="12"/>
      <c r="Q22" s="12"/>
      <c r="R22" s="12"/>
      <c r="S22" s="12"/>
      <c r="T22" s="12"/>
      <c r="U22" s="13"/>
    </row>
    <row r="23" spans="1:21" x14ac:dyDescent="0.2">
      <c r="A23" s="4" t="s">
        <v>84</v>
      </c>
      <c r="B23" s="5" t="str">
        <f>'Stats og tweaks'!A$13</f>
        <v>Front squat</v>
      </c>
      <c r="C23" s="5">
        <v>1</v>
      </c>
      <c r="D23" s="5" t="s">
        <v>73</v>
      </c>
      <c r="E23" s="5">
        <v>5</v>
      </c>
      <c r="F23" s="5" t="s">
        <v>61</v>
      </c>
      <c r="G23" s="6">
        <f>ROUND((0.6*'Stats og tweaks'!$D$26)/'Stats og tweaks'!$D$35,0)*'Stats og tweaks'!$D$35</f>
        <v>62.5</v>
      </c>
      <c r="H23" s="4" t="s">
        <v>90</v>
      </c>
      <c r="I23" s="5" t="str">
        <f>'Stats og tweaks'!B$11</f>
        <v>Bænkpres</v>
      </c>
      <c r="J23" s="5">
        <v>1</v>
      </c>
      <c r="K23" s="5" t="s">
        <v>73</v>
      </c>
      <c r="L23" s="5">
        <v>5</v>
      </c>
      <c r="M23" s="5" t="s">
        <v>61</v>
      </c>
      <c r="N23" s="6">
        <f>ROUND((0.6*'Stats og tweaks'!$D$20)/'Stats og tweaks'!$D$35,0)*'Stats og tweaks'!$D$35</f>
        <v>55</v>
      </c>
      <c r="O23" s="4" t="s">
        <v>84</v>
      </c>
      <c r="P23" s="5" t="str">
        <f>'Stats og tweaks'!C$13</f>
        <v>Back squat</v>
      </c>
      <c r="Q23" s="5">
        <v>1</v>
      </c>
      <c r="R23" s="5" t="s">
        <v>73</v>
      </c>
      <c r="S23" s="5">
        <v>5</v>
      </c>
      <c r="T23" s="5" t="s">
        <v>61</v>
      </c>
      <c r="U23" s="6">
        <f>ROUND((0.6*'Stats og tweaks'!$D$27)/'Stats og tweaks'!$D$35,0)*'Stats og tweaks'!$D$35</f>
        <v>72.5</v>
      </c>
    </row>
    <row r="24" spans="1:21" x14ac:dyDescent="0.2">
      <c r="A24" s="4"/>
      <c r="B24" s="16" t="str">
        <f>'Stats og tweaks'!A$13</f>
        <v>Front squat</v>
      </c>
      <c r="C24" s="5">
        <v>1</v>
      </c>
      <c r="D24" s="5" t="s">
        <v>72</v>
      </c>
      <c r="E24" s="5">
        <v>5</v>
      </c>
      <c r="F24" s="5" t="s">
        <v>61</v>
      </c>
      <c r="G24" s="6">
        <f>ROUND((0.7*'Stats og tweaks'!$D$26)/'Stats og tweaks'!$D$35,0)*'Stats og tweaks'!$D$35</f>
        <v>72.5</v>
      </c>
      <c r="H24" s="4"/>
      <c r="I24" s="16" t="str">
        <f>'Stats og tweaks'!B$11</f>
        <v>Bænkpres</v>
      </c>
      <c r="J24" s="5">
        <v>1</v>
      </c>
      <c r="K24" s="5" t="s">
        <v>72</v>
      </c>
      <c r="L24" s="5">
        <v>5</v>
      </c>
      <c r="M24" s="5" t="s">
        <v>61</v>
      </c>
      <c r="N24" s="6">
        <f>ROUND((0.7*'Stats og tweaks'!$D$20)/'Stats og tweaks'!$D$35,0)*'Stats og tweaks'!$D$35</f>
        <v>62.5</v>
      </c>
      <c r="O24" s="4"/>
      <c r="P24" s="16" t="str">
        <f>'Stats og tweaks'!C$13</f>
        <v>Back squat</v>
      </c>
      <c r="Q24" s="5">
        <v>1</v>
      </c>
      <c r="R24" s="5" t="s">
        <v>72</v>
      </c>
      <c r="S24" s="5">
        <v>5</v>
      </c>
      <c r="T24" s="5" t="s">
        <v>61</v>
      </c>
      <c r="U24" s="6">
        <f>ROUND((0.7*'Stats og tweaks'!$D$27)/'Stats og tweaks'!$D$35,0)*'Stats og tweaks'!$D$35</f>
        <v>85</v>
      </c>
    </row>
    <row r="25" spans="1:21" x14ac:dyDescent="0.2">
      <c r="A25" s="4"/>
      <c r="B25" s="16" t="str">
        <f>'Stats og tweaks'!A$13</f>
        <v>Front squat</v>
      </c>
      <c r="C25" s="5">
        <v>1</v>
      </c>
      <c r="D25" s="5" t="s">
        <v>72</v>
      </c>
      <c r="E25" s="5">
        <v>5</v>
      </c>
      <c r="F25" s="5" t="s">
        <v>61</v>
      </c>
      <c r="G25" s="6">
        <f>ROUND((0.8*'Stats og tweaks'!$D$26)/'Stats og tweaks'!$D$35,0)*'Stats og tweaks'!$D$35</f>
        <v>82.5</v>
      </c>
      <c r="H25" s="4"/>
      <c r="I25" s="16" t="str">
        <f>'Stats og tweaks'!B$11</f>
        <v>Bænkpres</v>
      </c>
      <c r="J25" s="5">
        <v>1</v>
      </c>
      <c r="K25" s="5" t="s">
        <v>72</v>
      </c>
      <c r="L25" s="5">
        <v>5</v>
      </c>
      <c r="M25" s="5" t="s">
        <v>61</v>
      </c>
      <c r="N25" s="6">
        <f>ROUND((0.8*'Stats og tweaks'!$D$20)/'Stats og tweaks'!$D$35,0)*'Stats og tweaks'!$D$35</f>
        <v>72.5</v>
      </c>
      <c r="O25" s="4"/>
      <c r="P25" s="16" t="str">
        <f>'Stats og tweaks'!C$13</f>
        <v>Back squat</v>
      </c>
      <c r="Q25" s="5">
        <v>1</v>
      </c>
      <c r="R25" s="5" t="s">
        <v>72</v>
      </c>
      <c r="S25" s="5">
        <v>5</v>
      </c>
      <c r="T25" s="5" t="s">
        <v>61</v>
      </c>
      <c r="U25" s="6">
        <f>ROUND((0.8*'Stats og tweaks'!$D$27)/'Stats og tweaks'!$D$35,0)*'Stats og tweaks'!$D$35</f>
        <v>97.5</v>
      </c>
    </row>
    <row r="26" spans="1:21" x14ac:dyDescent="0.2">
      <c r="A26" s="4"/>
      <c r="B26" s="16" t="str">
        <f>'Stats og tweaks'!A$13</f>
        <v>Front squat</v>
      </c>
      <c r="C26" s="5">
        <v>1</v>
      </c>
      <c r="D26" s="5" t="s">
        <v>72</v>
      </c>
      <c r="E26" s="5">
        <v>5</v>
      </c>
      <c r="F26" s="5" t="s">
        <v>61</v>
      </c>
      <c r="G26" s="6">
        <f>ROUND((0.9*'Stats og tweaks'!$D$26)/'Stats og tweaks'!$D$35,0)*'Stats og tweaks'!$D$35</f>
        <v>92.5</v>
      </c>
      <c r="H26" s="4"/>
      <c r="I26" s="16" t="str">
        <f>'Stats og tweaks'!B$11</f>
        <v>Bænkpres</v>
      </c>
      <c r="J26" s="5">
        <v>1</v>
      </c>
      <c r="K26" s="5" t="s">
        <v>72</v>
      </c>
      <c r="L26" s="5">
        <v>5</v>
      </c>
      <c r="M26" s="5" t="s">
        <v>61</v>
      </c>
      <c r="N26" s="6">
        <f>ROUND((0.9*'Stats og tweaks'!$D$20)/'Stats og tweaks'!$D$35,0)*'Stats og tweaks'!$D$35</f>
        <v>80</v>
      </c>
      <c r="O26" s="4"/>
      <c r="P26" s="16" t="str">
        <f>'Stats og tweaks'!C$13</f>
        <v>Back squat</v>
      </c>
      <c r="Q26" s="5">
        <v>1</v>
      </c>
      <c r="R26" s="5" t="s">
        <v>72</v>
      </c>
      <c r="S26" s="5">
        <v>5</v>
      </c>
      <c r="T26" s="5" t="s">
        <v>61</v>
      </c>
      <c r="U26" s="6">
        <f>ROUND((0.9*'Stats og tweaks'!$D$27)/'Stats og tweaks'!$D$35,0)*'Stats og tweaks'!$D$35</f>
        <v>110</v>
      </c>
    </row>
    <row r="27" spans="1:21" x14ac:dyDescent="0.2">
      <c r="A27" s="4"/>
      <c r="B27" s="16" t="str">
        <f>'Stats og tweaks'!A$13</f>
        <v>Front squat</v>
      </c>
      <c r="C27" s="5">
        <v>1</v>
      </c>
      <c r="D27" s="5" t="s">
        <v>73</v>
      </c>
      <c r="E27" s="5">
        <v>5</v>
      </c>
      <c r="F27" s="5" t="s">
        <v>61</v>
      </c>
      <c r="G27" s="6">
        <f>ROUND((1*'Stats og tweaks'!$D$26)/'Stats og tweaks'!$D$35,0)*'Stats og tweaks'!$D$35</f>
        <v>102.5</v>
      </c>
      <c r="H27" s="4"/>
      <c r="I27" s="16" t="str">
        <f>'Stats og tweaks'!B$11</f>
        <v>Bænkpres</v>
      </c>
      <c r="J27" s="5">
        <v>1</v>
      </c>
      <c r="K27" s="5" t="s">
        <v>73</v>
      </c>
      <c r="L27" s="5">
        <v>5</v>
      </c>
      <c r="M27" s="5" t="s">
        <v>61</v>
      </c>
      <c r="N27" s="6">
        <f>ROUND((1*'Stats og tweaks'!$D$20)/'Stats og tweaks'!$D$35,0)*'Stats og tweaks'!$D$35</f>
        <v>90</v>
      </c>
      <c r="O27" s="4"/>
      <c r="P27" s="16" t="str">
        <f>'Stats og tweaks'!C$13</f>
        <v>Back squat</v>
      </c>
      <c r="Q27" s="5">
        <v>1</v>
      </c>
      <c r="R27" s="5" t="s">
        <v>73</v>
      </c>
      <c r="S27" s="5">
        <v>5</v>
      </c>
      <c r="T27" s="5" t="s">
        <v>61</v>
      </c>
      <c r="U27" s="6">
        <f>ROUND((1*'Stats og tweaks'!$D$27)/'Stats og tweaks'!$D$35,0)*'Stats og tweaks'!$D$35</f>
        <v>122.5</v>
      </c>
    </row>
    <row r="28" spans="1:21" x14ac:dyDescent="0.2">
      <c r="A28" s="4"/>
      <c r="B28" s="16" t="str">
        <f>'Stats og tweaks'!A$13</f>
        <v>Front squat</v>
      </c>
      <c r="C28" s="5">
        <v>5</v>
      </c>
      <c r="D28" s="5" t="s">
        <v>72</v>
      </c>
      <c r="E28" s="5">
        <v>5</v>
      </c>
      <c r="F28" s="5" t="s">
        <v>61</v>
      </c>
      <c r="G28" s="6">
        <f>ROUND((('Stats og tweaks'!$D$33)/100*'Stats og tweaks'!$D$26)/'Stats og tweaks'!$D$35,0)*'Stats og tweaks'!$D$35</f>
        <v>82.5</v>
      </c>
      <c r="H28" s="4"/>
      <c r="I28" s="16" t="str">
        <f>'Stats og tweaks'!B$11</f>
        <v>Bænkpres</v>
      </c>
      <c r="J28" s="5">
        <v>5</v>
      </c>
      <c r="K28" s="5" t="s">
        <v>72</v>
      </c>
      <c r="L28" s="5">
        <v>5</v>
      </c>
      <c r="M28" s="5" t="s">
        <v>61</v>
      </c>
      <c r="N28" s="6">
        <f>ROUND((('Stats og tweaks'!$D$33)/100*'Stats og tweaks'!$D$20)/'Stats og tweaks'!$D$35,0)*'Stats og tweaks'!$D$35</f>
        <v>72.5</v>
      </c>
      <c r="O28" s="4"/>
      <c r="P28" s="16" t="str">
        <f>'Stats og tweaks'!C$13</f>
        <v>Back squat</v>
      </c>
      <c r="Q28" s="5">
        <v>5</v>
      </c>
      <c r="R28" s="5" t="s">
        <v>72</v>
      </c>
      <c r="S28" s="5">
        <v>5</v>
      </c>
      <c r="T28" s="5" t="s">
        <v>61</v>
      </c>
      <c r="U28" s="6">
        <f>ROUND((('Stats og tweaks'!$D$33)/100*'Stats og tweaks'!$D$27)/'Stats og tweaks'!$D$35,0)*'Stats og tweaks'!$D$35</f>
        <v>97.5</v>
      </c>
    </row>
    <row r="29" spans="1:21" x14ac:dyDescent="0.2">
      <c r="A29" s="4" t="s">
        <v>67</v>
      </c>
      <c r="B29" s="5" t="str">
        <f>'Stats og tweaks'!A$12</f>
        <v>Kropshævninger m. Vægt</v>
      </c>
      <c r="C29" s="5">
        <v>1</v>
      </c>
      <c r="D29" s="5" t="s">
        <v>73</v>
      </c>
      <c r="E29" s="5">
        <v>5</v>
      </c>
      <c r="F29" s="5" t="s">
        <v>61</v>
      </c>
      <c r="G29" s="6" t="str">
        <f>IF(ROUND(((0.6*'Stats og tweaks'!$D$23)-'Stats og tweaks'!$C$7)/'Stats og tweaks'!$D$35,0)*'Stats og tweaks'!$D$35&lt;0, "kropsvægt", ROUND(((0.6*'Stats og tweaks'!$D$23)-'Stats og tweaks'!$C$7)/'Stats og tweaks'!$D$35,0)*'Stats og tweaks'!$D$35)</f>
        <v>kropsvægt</v>
      </c>
      <c r="H29" s="4" t="s">
        <v>91</v>
      </c>
      <c r="I29" s="5" t="str">
        <f>'Stats og tweaks'!B$12</f>
        <v>Chest-supported rows</v>
      </c>
      <c r="J29" s="5">
        <v>10</v>
      </c>
      <c r="K29" s="5" t="s">
        <v>72</v>
      </c>
      <c r="L29" s="5">
        <v>5</v>
      </c>
      <c r="M29" s="5" t="s">
        <v>61</v>
      </c>
      <c r="N29" s="6">
        <f>ROUND((('Stats og tweaks'!$D$33)/100*N14)/'Stats og tweaks'!$D$35,0)*'Stats og tweaks'!$D$35</f>
        <v>62.5</v>
      </c>
      <c r="O29" s="4" t="s">
        <v>67</v>
      </c>
      <c r="P29" s="5" t="str">
        <f>'Stats og tweaks'!C$12</f>
        <v>Frivend</v>
      </c>
      <c r="Q29" s="5">
        <v>1</v>
      </c>
      <c r="R29" s="5" t="s">
        <v>73</v>
      </c>
      <c r="S29" s="5">
        <v>5</v>
      </c>
      <c r="T29" s="5" t="s">
        <v>61</v>
      </c>
      <c r="U29" s="6">
        <f>ROUND((0.625*'Stats og tweaks'!$D$25)/'Stats og tweaks'!$D$35,0)*'Stats og tweaks'!$D$35</f>
        <v>60</v>
      </c>
    </row>
    <row r="30" spans="1:21" x14ac:dyDescent="0.2">
      <c r="A30" s="4"/>
      <c r="B30" s="16" t="str">
        <f>'Stats og tweaks'!A$12</f>
        <v>Kropshævninger m. Vægt</v>
      </c>
      <c r="C30" s="5">
        <v>1</v>
      </c>
      <c r="D30" s="5" t="s">
        <v>72</v>
      </c>
      <c r="E30" s="5">
        <v>5</v>
      </c>
      <c r="F30" s="5" t="s">
        <v>61</v>
      </c>
      <c r="G30" s="6" t="str">
        <f>IF(ROUND(((0.7*'Stats og tweaks'!$D$23)-'Stats og tweaks'!$C$7)/'Stats og tweaks'!$D$35,0)*'Stats og tweaks'!$D$35&lt;0, "kropsvægt", ROUND(((0.7*'Stats og tweaks'!$D$23)-'Stats og tweaks'!$C$7)/'Stats og tweaks'!$D$35,0)*'Stats og tweaks'!$D$35)</f>
        <v>kropsvægt</v>
      </c>
      <c r="H30" s="4" t="s">
        <v>92</v>
      </c>
      <c r="I30" s="5" t="str">
        <f>'Stats og tweaks'!B$13</f>
        <v>Dødløft</v>
      </c>
      <c r="J30" s="5">
        <v>10</v>
      </c>
      <c r="K30" s="5" t="s">
        <v>73</v>
      </c>
      <c r="L30" s="5">
        <v>5</v>
      </c>
      <c r="M30" s="5" t="s">
        <v>61</v>
      </c>
      <c r="N30" s="6">
        <f>ROUND((('Stats og tweaks'!$D$33)/100*N8)/'Stats og tweaks'!$D$35,0)*'Stats og tweaks'!$D$35</f>
        <v>122.5</v>
      </c>
      <c r="O30" s="4"/>
      <c r="P30" s="16" t="str">
        <f>'Stats og tweaks'!C$12</f>
        <v>Frivend</v>
      </c>
      <c r="Q30" s="5">
        <v>1</v>
      </c>
      <c r="R30" s="5" t="s">
        <v>72</v>
      </c>
      <c r="S30" s="5">
        <v>5</v>
      </c>
      <c r="T30" s="5" t="s">
        <v>61</v>
      </c>
      <c r="U30" s="6">
        <f>ROUND((0.725*'Stats og tweaks'!$D$25)/'Stats og tweaks'!$D$35,0)*'Stats og tweaks'!$D$35</f>
        <v>70</v>
      </c>
    </row>
    <row r="31" spans="1:21" x14ac:dyDescent="0.2">
      <c r="A31" s="4"/>
      <c r="B31" s="16" t="str">
        <f>'Stats og tweaks'!A$12</f>
        <v>Kropshævninger m. Vægt</v>
      </c>
      <c r="C31" s="5">
        <v>1</v>
      </c>
      <c r="D31" s="5" t="s">
        <v>72</v>
      </c>
      <c r="E31" s="5">
        <v>5</v>
      </c>
      <c r="F31" s="5" t="s">
        <v>61</v>
      </c>
      <c r="G31" s="6">
        <f>IF(ROUND(((0.8*'Stats og tweaks'!$D$23)-'Stats og tweaks'!$C$7)/'Stats og tweaks'!$D$35,0)*'Stats og tweaks'!$D$35&lt;0, "kropsvægt", ROUND(((0.8*'Stats og tweaks'!$D$23)-'Stats og tweaks'!$C$7)/'Stats og tweaks'!$D$35,0)*'Stats og tweaks'!$D$35)</f>
        <v>5</v>
      </c>
      <c r="H31" s="4" t="s">
        <v>93</v>
      </c>
      <c r="I31" s="15" t="s">
        <v>50</v>
      </c>
      <c r="J31" s="5">
        <v>5</v>
      </c>
      <c r="K31" s="5" t="s">
        <v>72</v>
      </c>
      <c r="L31" s="24">
        <v>5</v>
      </c>
      <c r="M31" s="5" t="s">
        <v>61</v>
      </c>
      <c r="N31" s="17"/>
      <c r="O31" s="4"/>
      <c r="P31" s="16" t="str">
        <f>'Stats og tweaks'!C$12</f>
        <v>Frivend</v>
      </c>
      <c r="Q31" s="5">
        <v>1</v>
      </c>
      <c r="R31" s="5" t="s">
        <v>72</v>
      </c>
      <c r="S31" s="5">
        <v>5</v>
      </c>
      <c r="T31" s="5" t="s">
        <v>61</v>
      </c>
      <c r="U31" s="6">
        <f>ROUND((0.8*'Stats og tweaks'!$D$25)/'Stats og tweaks'!$D$35,0)*'Stats og tweaks'!$D$35</f>
        <v>75</v>
      </c>
    </row>
    <row r="32" spans="1:21" x14ac:dyDescent="0.2">
      <c r="A32" s="4"/>
      <c r="B32" s="16" t="str">
        <f>'Stats og tweaks'!A$12</f>
        <v>Kropshævninger m. Vægt</v>
      </c>
      <c r="C32" s="5">
        <v>1</v>
      </c>
      <c r="D32" s="5" t="s">
        <v>72</v>
      </c>
      <c r="E32" s="5">
        <v>5</v>
      </c>
      <c r="F32" s="5" t="s">
        <v>61</v>
      </c>
      <c r="G32" s="6">
        <f>IF(ROUND(((0.9*'Stats og tweaks'!$D$23)-'Stats og tweaks'!$C$7)/'Stats og tweaks'!$D$35,0)*'Stats og tweaks'!$D$35&lt;0, "kropsvægt", ROUND(((0.9*'Stats og tweaks'!$D$23)-'Stats og tweaks'!$C$7)/'Stats og tweaks'!$D$35,0)*'Stats og tweaks'!$D$35)</f>
        <v>17.5</v>
      </c>
      <c r="H32" s="4" t="s">
        <v>94</v>
      </c>
      <c r="I32" s="15" t="s">
        <v>36</v>
      </c>
      <c r="J32" s="5">
        <v>5</v>
      </c>
      <c r="K32" s="5" t="s">
        <v>73</v>
      </c>
      <c r="L32" s="24" t="s">
        <v>35</v>
      </c>
      <c r="M32" s="5" t="s">
        <v>61</v>
      </c>
      <c r="N32" s="17"/>
      <c r="O32" s="4"/>
      <c r="P32" s="16" t="str">
        <f>'Stats og tweaks'!C$12</f>
        <v>Frivend</v>
      </c>
      <c r="Q32" s="5">
        <v>1</v>
      </c>
      <c r="R32" s="5" t="s">
        <v>72</v>
      </c>
      <c r="S32" s="5">
        <v>5</v>
      </c>
      <c r="T32" s="5" t="s">
        <v>61</v>
      </c>
      <c r="U32" s="6">
        <f>ROUND((0.9*'Stats og tweaks'!$D$25)/'Stats og tweaks'!$D$35,0)*'Stats og tweaks'!$D$35</f>
        <v>85</v>
      </c>
    </row>
    <row r="33" spans="1:21" x14ac:dyDescent="0.2">
      <c r="A33" s="4"/>
      <c r="B33" s="16" t="str">
        <f>'Stats og tweaks'!A$12</f>
        <v>Kropshævninger m. Vægt</v>
      </c>
      <c r="C33" s="5">
        <v>1</v>
      </c>
      <c r="D33" s="5" t="s">
        <v>73</v>
      </c>
      <c r="E33" s="5">
        <v>5</v>
      </c>
      <c r="F33" s="5" t="s">
        <v>61</v>
      </c>
      <c r="G33" s="6">
        <f>IF(ROUND(((1*'Stats og tweaks'!$D$23)-'Stats og tweaks'!$C$7)/'Stats og tweaks'!$D$35,0)*'Stats og tweaks'!$D$35&lt;0, "kropsvægt", ROUND(((1*'Stats og tweaks'!$D$23)-'Stats og tweaks'!$C$7)/'Stats og tweaks'!$D$35,0)*'Stats og tweaks'!$D$35)</f>
        <v>30</v>
      </c>
      <c r="H33" s="4" t="s">
        <v>10</v>
      </c>
      <c r="I33" s="15" t="s">
        <v>46</v>
      </c>
      <c r="J33" s="14">
        <v>10</v>
      </c>
      <c r="K33" s="14" t="s">
        <v>21</v>
      </c>
      <c r="L33" s="14">
        <v>5</v>
      </c>
      <c r="M33" s="5" t="s">
        <v>61</v>
      </c>
      <c r="N33" s="17"/>
      <c r="O33" s="4"/>
      <c r="P33" s="16" t="str">
        <f>'Stats og tweaks'!C$12</f>
        <v>Frivend</v>
      </c>
      <c r="Q33" s="5">
        <v>1</v>
      </c>
      <c r="R33" s="5" t="s">
        <v>73</v>
      </c>
      <c r="S33" s="5">
        <v>5</v>
      </c>
      <c r="T33" s="5" t="s">
        <v>61</v>
      </c>
      <c r="U33" s="6">
        <f>ROUND((1*'Stats og tweaks'!$D$25)/'Stats og tweaks'!$D$35,0)*'Stats og tweaks'!$D$35</f>
        <v>95</v>
      </c>
    </row>
    <row r="34" spans="1:21" x14ac:dyDescent="0.2">
      <c r="A34" s="4"/>
      <c r="B34" s="16" t="str">
        <f>'Stats og tweaks'!A$12</f>
        <v>Kropshævninger m. Vægt</v>
      </c>
      <c r="C34" s="5">
        <v>5</v>
      </c>
      <c r="D34" s="5" t="s">
        <v>72</v>
      </c>
      <c r="E34" s="5">
        <v>5</v>
      </c>
      <c r="F34" s="5" t="s">
        <v>61</v>
      </c>
      <c r="G34" s="6">
        <f>IF(ROUND(((('Stats og tweaks'!$D$33)/100*'Stats og tweaks'!$D$23)-'Stats og tweaks'!$C$7)/'Stats og tweaks'!$D$35,0)*'Stats og tweaks'!$D$35&lt;0, "kropsvægt", ROUND(((('Stats og tweaks'!$D$33)/100*'Stats og tweaks'!$D$23)-'Stats og tweaks'!$C$7)/'Stats og tweaks'!$D$35,0)*'Stats og tweaks'!$D$35)</f>
        <v>5</v>
      </c>
      <c r="H34" s="4" t="s">
        <v>11</v>
      </c>
      <c r="I34" s="15" t="s">
        <v>54</v>
      </c>
      <c r="J34" s="14">
        <v>10</v>
      </c>
      <c r="K34" s="14" t="s">
        <v>26</v>
      </c>
      <c r="L34" s="14">
        <v>5</v>
      </c>
      <c r="M34" s="14" t="s">
        <v>27</v>
      </c>
      <c r="N34" s="17"/>
      <c r="O34" s="4"/>
      <c r="P34" s="16" t="str">
        <f>'Stats og tweaks'!C$12</f>
        <v>Frivend</v>
      </c>
      <c r="Q34" s="5">
        <v>5</v>
      </c>
      <c r="R34" s="5" t="s">
        <v>72</v>
      </c>
      <c r="S34" s="5">
        <v>5</v>
      </c>
      <c r="T34" s="5" t="s">
        <v>61</v>
      </c>
      <c r="U34" s="6">
        <f>ROUND((('Stats og tweaks'!$D$33)/100*'Stats og tweaks'!$D$25)/'Stats og tweaks'!$D$35,0)*'Stats og tweaks'!$D$35</f>
        <v>75</v>
      </c>
    </row>
    <row r="35" spans="1:21" x14ac:dyDescent="0.2">
      <c r="A35" s="4" t="s">
        <v>85</v>
      </c>
      <c r="B35" s="5" t="str">
        <f>'Stats og tweaks'!A$11</f>
        <v>Military press</v>
      </c>
      <c r="C35" s="5">
        <v>10</v>
      </c>
      <c r="D35" s="5" t="s">
        <v>74</v>
      </c>
      <c r="E35" s="5">
        <v>5</v>
      </c>
      <c r="F35" s="5" t="s">
        <v>61</v>
      </c>
      <c r="G35" s="6">
        <f>ROUND((('Stats og tweaks'!$D$33)/100*G8)/'Stats og tweaks'!$D$35,0)*'Stats og tweaks'!$D$35</f>
        <v>45</v>
      </c>
      <c r="H35" s="4"/>
      <c r="I35" s="5"/>
      <c r="J35" s="5"/>
      <c r="K35" s="5"/>
      <c r="L35" s="5"/>
      <c r="M35" s="5"/>
      <c r="N35" s="7"/>
      <c r="O35" s="4" t="s">
        <v>85</v>
      </c>
      <c r="P35" s="5" t="str">
        <f>'Stats og tweaks'!C$11</f>
        <v>Dips m. Vægt</v>
      </c>
      <c r="Q35" s="5">
        <v>10</v>
      </c>
      <c r="R35" s="5" t="s">
        <v>72</v>
      </c>
      <c r="S35" s="5">
        <v>5</v>
      </c>
      <c r="T35" s="5" t="s">
        <v>61</v>
      </c>
      <c r="U35" s="6">
        <f>IF(ROUND(((('Stats og tweaks'!$D$33)/100*'Stats og tweaks'!$D$22)-'Stats og tweaks'!$C$7)/'Stats og tweaks'!$D$35,0)*'Stats og tweaks'!$D$35&lt;0, "kropsvægt", ROUND(((('Stats og tweaks'!$D$33)/100*'Stats og tweaks'!$D$22)-'Stats og tweaks'!$C$7)/'Stats og tweaks'!$D$35,0)*'Stats og tweaks'!$D$35)</f>
        <v>10</v>
      </c>
    </row>
    <row r="36" spans="1:21" x14ac:dyDescent="0.2">
      <c r="A36" s="4" t="s">
        <v>86</v>
      </c>
      <c r="B36" s="15" t="s">
        <v>20</v>
      </c>
      <c r="C36" s="5">
        <v>10</v>
      </c>
      <c r="D36" s="5" t="s">
        <v>73</v>
      </c>
      <c r="E36" s="5">
        <v>5</v>
      </c>
      <c r="F36" s="5" t="s">
        <v>61</v>
      </c>
      <c r="G36" s="17"/>
      <c r="H36" s="4"/>
      <c r="I36" s="5"/>
      <c r="J36" s="5"/>
      <c r="K36" s="5"/>
      <c r="L36" s="5"/>
      <c r="M36" s="5"/>
      <c r="N36" s="7"/>
      <c r="O36" s="4" t="s">
        <v>86</v>
      </c>
      <c r="P36" s="15" t="s">
        <v>37</v>
      </c>
      <c r="Q36" s="5">
        <v>10</v>
      </c>
      <c r="R36" s="5" t="s">
        <v>73</v>
      </c>
      <c r="S36" s="5">
        <v>5</v>
      </c>
      <c r="T36" s="5" t="s">
        <v>61</v>
      </c>
      <c r="U36" s="17"/>
    </row>
    <row r="37" spans="1:21" x14ac:dyDescent="0.2">
      <c r="A37" s="4" t="s">
        <v>88</v>
      </c>
      <c r="B37" s="15" t="s">
        <v>47</v>
      </c>
      <c r="C37" s="5">
        <v>10</v>
      </c>
      <c r="D37" s="5" t="s">
        <v>73</v>
      </c>
      <c r="E37" s="5">
        <v>5</v>
      </c>
      <c r="F37" s="5" t="s">
        <v>61</v>
      </c>
      <c r="G37" s="17"/>
      <c r="H37" s="4"/>
      <c r="I37" s="5"/>
      <c r="J37" s="5"/>
      <c r="K37" s="5"/>
      <c r="L37" s="5"/>
      <c r="M37" s="5"/>
      <c r="N37" s="7"/>
      <c r="O37" s="4" t="s">
        <v>88</v>
      </c>
      <c r="P37" s="15" t="s">
        <v>38</v>
      </c>
      <c r="Q37" s="5">
        <v>10</v>
      </c>
      <c r="R37" s="5" t="s">
        <v>73</v>
      </c>
      <c r="S37" s="5">
        <v>5</v>
      </c>
      <c r="T37" s="5" t="s">
        <v>61</v>
      </c>
      <c r="U37" s="17"/>
    </row>
    <row r="38" spans="1:21" ht="13.5" thickBot="1" x14ac:dyDescent="0.25">
      <c r="A38" s="8"/>
      <c r="B38" s="9"/>
      <c r="C38" s="9"/>
      <c r="D38" s="9"/>
      <c r="E38" s="9"/>
      <c r="F38" s="9"/>
      <c r="G38" s="10"/>
      <c r="H38" s="8"/>
      <c r="I38" s="9"/>
      <c r="J38" s="9"/>
      <c r="K38" s="9"/>
      <c r="L38" s="9"/>
      <c r="M38" s="9"/>
      <c r="N38" s="10"/>
      <c r="O38" s="8"/>
      <c r="P38" s="9"/>
      <c r="Q38" s="9"/>
      <c r="R38" s="9"/>
      <c r="S38" s="9"/>
      <c r="T38" s="9"/>
      <c r="U38" s="10"/>
    </row>
    <row r="40" spans="1:21" ht="25.5" thickBot="1" x14ac:dyDescent="0.35">
      <c r="A40" s="25" t="s">
        <v>41</v>
      </c>
    </row>
    <row r="41" spans="1:21" ht="13.5" thickBot="1" x14ac:dyDescent="0.25">
      <c r="A41" s="11" t="s">
        <v>63</v>
      </c>
      <c r="B41" s="12"/>
      <c r="C41" s="12"/>
      <c r="D41" s="12"/>
      <c r="E41" s="12"/>
      <c r="F41" s="12"/>
      <c r="G41" s="13"/>
      <c r="H41" s="11" t="s">
        <v>83</v>
      </c>
      <c r="I41" s="12"/>
      <c r="J41" s="12"/>
      <c r="K41" s="12"/>
      <c r="L41" s="12"/>
      <c r="M41" s="12"/>
      <c r="N41" s="13"/>
      <c r="O41" s="11" t="s">
        <v>89</v>
      </c>
      <c r="P41" s="12"/>
      <c r="Q41" s="12"/>
      <c r="R41" s="12"/>
      <c r="S41" s="12"/>
      <c r="T41" s="12"/>
      <c r="U41" s="13"/>
    </row>
    <row r="42" spans="1:21" x14ac:dyDescent="0.2">
      <c r="A42" s="4" t="s">
        <v>65</v>
      </c>
      <c r="B42" s="5" t="str">
        <f>'Stats og tweaks'!A$11</f>
        <v>Military press</v>
      </c>
      <c r="C42" s="5">
        <v>1</v>
      </c>
      <c r="D42" s="5" t="s">
        <v>72</v>
      </c>
      <c r="E42" s="5">
        <v>5</v>
      </c>
      <c r="F42" s="5" t="s">
        <v>60</v>
      </c>
      <c r="G42" s="6">
        <f>ROUND((0.6*(100+'Stats og tweaks'!$D$34)/100*Sheet2!G8)/'Stats og tweaks'!$D$35,0)*'Stats og tweaks'!$D$35</f>
        <v>35</v>
      </c>
      <c r="H42" s="4" t="s">
        <v>84</v>
      </c>
      <c r="I42" s="5" t="str">
        <f>'Stats og tweaks'!B$13</f>
        <v>Dødløft</v>
      </c>
      <c r="J42" s="5">
        <v>1</v>
      </c>
      <c r="K42" s="5" t="s">
        <v>72</v>
      </c>
      <c r="L42" s="5">
        <v>5</v>
      </c>
      <c r="M42" s="5" t="s">
        <v>61</v>
      </c>
      <c r="N42" s="6">
        <f>ROUND((0.6*(100+'Stats og tweaks'!$D$34)/100*Sheet2!N8)/'Stats og tweaks'!$D$35,0)*'Stats og tweaks'!$D$35</f>
        <v>95</v>
      </c>
      <c r="O42" s="4" t="s">
        <v>65</v>
      </c>
      <c r="P42" s="5" t="str">
        <f>'Stats og tweaks'!C$11</f>
        <v>Dips m. Vægt</v>
      </c>
      <c r="Q42" s="5">
        <v>1</v>
      </c>
      <c r="R42" s="5" t="s">
        <v>72</v>
      </c>
      <c r="S42" s="5">
        <v>5</v>
      </c>
      <c r="T42" s="5" t="s">
        <v>61</v>
      </c>
      <c r="U42" s="6" t="str">
        <f>IF(ROUND(((0.6*(100+'Stats og tweaks'!$D$34)/100*(Sheet2!U8+'Stats og tweaks'!$C$7))-'Stats og tweaks'!$C$7)/'Stats og tweaks'!$D$35,0)*'Stats og tweaks'!$D$35&lt;0, "kropsvægt", ROUND(((0.6*(100+'Stats og tweaks'!$D$34)/100*(Sheet2!U8+'Stats og tweaks'!$C$7))-'Stats og tweaks'!$C$7)/'Stats og tweaks'!$D$35,0)*'Stats og tweaks'!$D$35)</f>
        <v>kropsvægt</v>
      </c>
    </row>
    <row r="43" spans="1:21" x14ac:dyDescent="0.2">
      <c r="A43" s="4"/>
      <c r="B43" s="16" t="str">
        <f>'Stats og tweaks'!A$11</f>
        <v>Military press</v>
      </c>
      <c r="C43" s="5">
        <v>1</v>
      </c>
      <c r="D43" s="5" t="s">
        <v>72</v>
      </c>
      <c r="E43" s="5">
        <v>5</v>
      </c>
      <c r="F43" s="5" t="s">
        <v>60</v>
      </c>
      <c r="G43" s="6">
        <f>ROUND((0.7*(100+'Stats og tweaks'!$D$34)/100*Sheet2!G8)/'Stats og tweaks'!$D$35,0)*'Stats og tweaks'!$D$35</f>
        <v>42.5</v>
      </c>
      <c r="H43" s="4"/>
      <c r="I43" s="16" t="str">
        <f>'Stats og tweaks'!B$13</f>
        <v>Dødløft</v>
      </c>
      <c r="J43" s="5">
        <v>1</v>
      </c>
      <c r="K43" s="5" t="s">
        <v>72</v>
      </c>
      <c r="L43" s="5">
        <v>5</v>
      </c>
      <c r="M43" s="5" t="s">
        <v>61</v>
      </c>
      <c r="N43" s="6">
        <f>ROUND((0.7*(100+'Stats og tweaks'!$D$34)/100*Sheet2!N8)/'Stats og tweaks'!$D$35,0)*'Stats og tweaks'!$D$35</f>
        <v>110</v>
      </c>
      <c r="O43" s="4"/>
      <c r="P43" s="16" t="str">
        <f>'Stats og tweaks'!C$11</f>
        <v>Dips m. Vægt</v>
      </c>
      <c r="Q43" s="5">
        <v>1</v>
      </c>
      <c r="R43" s="5" t="s">
        <v>72</v>
      </c>
      <c r="S43" s="5">
        <v>5</v>
      </c>
      <c r="T43" s="5" t="s">
        <v>61</v>
      </c>
      <c r="U43" s="6">
        <f>IF(ROUND(((0.7*(100+'Stats og tweaks'!$D$34)/100*(Sheet2!U8+'Stats og tweaks'!$C$7))-'Stats og tweaks'!$C$7)/'Stats og tweaks'!$D$35,0)*'Stats og tweaks'!$D$35&lt;0, "kropsvægt", ROUND(((0.7*(100+'Stats og tweaks'!$D$34)/100*(Sheet2!U8+'Stats og tweaks'!$C$7))-'Stats og tweaks'!$C$7)/'Stats og tweaks'!$D$35,0)*'Stats og tweaks'!$D$35)</f>
        <v>0</v>
      </c>
    </row>
    <row r="44" spans="1:21" x14ac:dyDescent="0.2">
      <c r="A44" s="4"/>
      <c r="B44" s="16" t="str">
        <f>'Stats og tweaks'!A$11</f>
        <v>Military press</v>
      </c>
      <c r="C44" s="5">
        <v>1</v>
      </c>
      <c r="D44" s="5" t="s">
        <v>72</v>
      </c>
      <c r="E44" s="5">
        <v>5</v>
      </c>
      <c r="F44" s="5" t="s">
        <v>60</v>
      </c>
      <c r="G44" s="6">
        <f>ROUND((0.8*(100+'Stats og tweaks'!$D$34)/100*Sheet2!G8)/'Stats og tweaks'!$D$35,0)*'Stats og tweaks'!$D$35</f>
        <v>47.5</v>
      </c>
      <c r="H44" s="4"/>
      <c r="I44" s="16" t="str">
        <f>'Stats og tweaks'!B$13</f>
        <v>Dødløft</v>
      </c>
      <c r="J44" s="5">
        <v>1</v>
      </c>
      <c r="K44" s="5" t="s">
        <v>72</v>
      </c>
      <c r="L44" s="5">
        <v>5</v>
      </c>
      <c r="M44" s="5" t="s">
        <v>61</v>
      </c>
      <c r="N44" s="6">
        <f>ROUND((0.8*(100+'Stats og tweaks'!$D$34)/100*Sheet2!N8)/'Stats og tweaks'!$D$35,0)*'Stats og tweaks'!$D$35</f>
        <v>127.5</v>
      </c>
      <c r="O44" s="4"/>
      <c r="P44" s="16" t="str">
        <f>'Stats og tweaks'!C$11</f>
        <v>Dips m. Vægt</v>
      </c>
      <c r="Q44" s="5">
        <v>1</v>
      </c>
      <c r="R44" s="5" t="s">
        <v>72</v>
      </c>
      <c r="S44" s="5">
        <v>5</v>
      </c>
      <c r="T44" s="5" t="s">
        <v>61</v>
      </c>
      <c r="U44" s="6">
        <f>IF(ROUND(((0.8*(100+'Stats og tweaks'!$D$34)/100*(Sheet2!U8+'Stats og tweaks'!$C$7))-'Stats og tweaks'!$C$7)/'Stats og tweaks'!$D$35,0)*'Stats og tweaks'!$D$35&lt;0, "kropsvægt", ROUND(((0.8*(100+'Stats og tweaks'!$D$34)/100*(Sheet2!U8+'Stats og tweaks'!$C$7))-'Stats og tweaks'!$C$7)/'Stats og tweaks'!$D$35,0)*'Stats og tweaks'!$D$35)</f>
        <v>12.5</v>
      </c>
    </row>
    <row r="45" spans="1:21" x14ac:dyDescent="0.2">
      <c r="A45" s="4"/>
      <c r="B45" s="16" t="str">
        <f>'Stats og tweaks'!A$11</f>
        <v>Military press</v>
      </c>
      <c r="C45" s="5">
        <v>1</v>
      </c>
      <c r="D45" s="5" t="s">
        <v>72</v>
      </c>
      <c r="E45" s="5">
        <v>5</v>
      </c>
      <c r="F45" s="5" t="s">
        <v>60</v>
      </c>
      <c r="G45" s="6">
        <f>ROUND((0.9*(100+'Stats og tweaks'!$D$34)/100*Sheet2!G8)/'Stats og tweaks'!$D$35,0)*'Stats og tweaks'!$D$35</f>
        <v>52.5</v>
      </c>
      <c r="H45" s="4"/>
      <c r="I45" s="16" t="str">
        <f>'Stats og tweaks'!B$13</f>
        <v>Dødløft</v>
      </c>
      <c r="J45" s="5">
        <v>1</v>
      </c>
      <c r="K45" s="5" t="s">
        <v>72</v>
      </c>
      <c r="L45" s="5">
        <v>5</v>
      </c>
      <c r="M45" s="5" t="s">
        <v>61</v>
      </c>
      <c r="N45" s="6">
        <f>ROUND((0.9*(100+'Stats og tweaks'!$D$34)/100*Sheet2!N8)/'Stats og tweaks'!$D$35,0)*'Stats og tweaks'!$D$35</f>
        <v>142.5</v>
      </c>
      <c r="O45" s="4"/>
      <c r="P45" s="16" t="str">
        <f>'Stats og tweaks'!C$11</f>
        <v>Dips m. Vægt</v>
      </c>
      <c r="Q45" s="5">
        <v>1</v>
      </c>
      <c r="R45" s="5" t="s">
        <v>72</v>
      </c>
      <c r="S45" s="5">
        <v>5</v>
      </c>
      <c r="T45" s="5" t="s">
        <v>61</v>
      </c>
      <c r="U45" s="6">
        <f>IF(ROUND(((0.9*(100+'Stats og tweaks'!$D$34)/100*(Sheet2!U8+'Stats og tweaks'!$C$7))-'Stats og tweaks'!$C$7)/'Stats og tweaks'!$D$35,0)*'Stats og tweaks'!$D$35&lt;0, "kropsvægt", ROUND(((0.9*(100+'Stats og tweaks'!$D$34)/100*(Sheet2!U8+'Stats og tweaks'!$C$7))-'Stats og tweaks'!$C$7)/'Stats og tweaks'!$D$35,0)*'Stats og tweaks'!$D$35)</f>
        <v>25</v>
      </c>
    </row>
    <row r="46" spans="1:21" x14ac:dyDescent="0.2">
      <c r="A46" s="4"/>
      <c r="B46" s="16" t="str">
        <f>'Stats og tweaks'!A$11</f>
        <v>Military press</v>
      </c>
      <c r="C46" s="5">
        <v>1</v>
      </c>
      <c r="D46" s="5" t="s">
        <v>72</v>
      </c>
      <c r="E46" s="5">
        <v>5</v>
      </c>
      <c r="F46" s="5" t="s">
        <v>60</v>
      </c>
      <c r="G46" s="6">
        <f>ROUND((1*(100+'Stats og tweaks'!$D$34)/100*Sheet2!G8)/'Stats og tweaks'!$D$35,0)*'Stats og tweaks'!$D$35</f>
        <v>60</v>
      </c>
      <c r="H46" s="4"/>
      <c r="I46" s="16" t="str">
        <f>'Stats og tweaks'!B$13</f>
        <v>Dødløft</v>
      </c>
      <c r="J46" s="5">
        <v>1</v>
      </c>
      <c r="K46" s="5" t="s">
        <v>72</v>
      </c>
      <c r="L46" s="5">
        <v>5</v>
      </c>
      <c r="M46" s="5" t="s">
        <v>61</v>
      </c>
      <c r="N46" s="6">
        <f>ROUND((1*(100+'Stats og tweaks'!$D$34)/100*Sheet2!N8)/'Stats og tweaks'!$D$35,0)*'Stats og tweaks'!$D$35</f>
        <v>157.5</v>
      </c>
      <c r="O46" s="4"/>
      <c r="P46" s="16" t="str">
        <f>'Stats og tweaks'!C$11</f>
        <v>Dips m. Vægt</v>
      </c>
      <c r="Q46" s="5">
        <v>1</v>
      </c>
      <c r="R46" s="5" t="s">
        <v>72</v>
      </c>
      <c r="S46" s="5">
        <v>5</v>
      </c>
      <c r="T46" s="5" t="s">
        <v>61</v>
      </c>
      <c r="U46" s="6">
        <f>IF(ROUND(((1*(100+'Stats og tweaks'!$D$34)/100*(Sheet2!U8+'Stats og tweaks'!$C$7))-'Stats og tweaks'!$C$7)/'Stats og tweaks'!$D$35,0)*'Stats og tweaks'!$D$35&lt;0, "kropsvægt", ROUND(((1*(100+'Stats og tweaks'!$D$34)/100*(Sheet2!U8+'Stats og tweaks'!$C$7))-'Stats og tweaks'!$C$7)/'Stats og tweaks'!$D$35,0)*'Stats og tweaks'!$D$35)</f>
        <v>40</v>
      </c>
    </row>
    <row r="47" spans="1:21" x14ac:dyDescent="0.2">
      <c r="A47" s="4"/>
      <c r="B47" s="16" t="str">
        <f>'Stats og tweaks'!A$11</f>
        <v>Military press</v>
      </c>
      <c r="C47" s="5">
        <v>5</v>
      </c>
      <c r="D47" s="5" t="s">
        <v>72</v>
      </c>
      <c r="E47" s="5">
        <v>5</v>
      </c>
      <c r="F47" s="5" t="s">
        <v>60</v>
      </c>
      <c r="G47" s="6">
        <f>ROUND((('Stats og tweaks'!$D$33)/100*(100+'Stats og tweaks'!$D$34)/100*Sheet2!G8)/'Stats og tweaks'!$D$35,0)*'Stats og tweaks'!$D$35</f>
        <v>47.5</v>
      </c>
      <c r="H47" s="4"/>
      <c r="I47" s="16" t="str">
        <f>'Stats og tweaks'!B$13</f>
        <v>Dødløft</v>
      </c>
      <c r="J47" s="5">
        <v>5</v>
      </c>
      <c r="K47" s="5" t="s">
        <v>72</v>
      </c>
      <c r="L47" s="5">
        <v>5</v>
      </c>
      <c r="M47" s="5" t="s">
        <v>61</v>
      </c>
      <c r="N47" s="6">
        <f>ROUND((('Stats og tweaks'!$D$33)/100*(100+'Stats og tweaks'!$D$34)/100*Sheet2!N8)/'Stats og tweaks'!$D$35,0)*'Stats og tweaks'!$D$35</f>
        <v>127.5</v>
      </c>
      <c r="O47" s="4"/>
      <c r="P47" s="16" t="str">
        <f>'Stats og tweaks'!C$11</f>
        <v>Dips m. Vægt</v>
      </c>
      <c r="Q47" s="5">
        <v>5</v>
      </c>
      <c r="R47" s="5" t="s">
        <v>72</v>
      </c>
      <c r="S47" s="5">
        <v>5</v>
      </c>
      <c r="T47" s="5" t="s">
        <v>61</v>
      </c>
      <c r="U47" s="6">
        <f>IF(ROUND(((('Stats og tweaks'!$D$33)/100*(100+'Stats og tweaks'!$D$34)/100*(Sheet2!U8+'Stats og tweaks'!$C$7))-'Stats og tweaks'!$C$7)/'Stats og tweaks'!$D$35,0)*'Stats og tweaks'!$D$35&lt;0, "kropsvægt", ROUND(((('Stats og tweaks'!$D$33)/100*(100+'Stats og tweaks'!$D$34)/100*(Sheet2!U8+'Stats og tweaks'!$C$7))-'Stats og tweaks'!$C$7)/'Stats og tweaks'!$D$35,0)*'Stats og tweaks'!$D$35)</f>
        <v>12.5</v>
      </c>
    </row>
    <row r="48" spans="1:21" x14ac:dyDescent="0.2">
      <c r="A48" s="4" t="s">
        <v>66</v>
      </c>
      <c r="B48" s="5" t="str">
        <f>'Stats og tweaks'!A$12</f>
        <v>Kropshævninger m. Vægt</v>
      </c>
      <c r="C48" s="5">
        <v>10</v>
      </c>
      <c r="D48" s="5" t="s">
        <v>72</v>
      </c>
      <c r="E48" s="5">
        <v>5</v>
      </c>
      <c r="F48" s="5" t="s">
        <v>60</v>
      </c>
      <c r="G48" s="6">
        <f>IF((ROUND(((('Stats og tweaks'!$D$33)/100*(Sheet2!G33+'Stats og tweaks'!$C$7))-'Stats og tweaks'!$C$7)/'Stats og tweaks'!$D$35,0)*'Stats og tweaks'!$D$35)&lt;0, "kropsvægt", (ROUND(((('Stats og tweaks'!$D$33)/100*(Sheet2!G33+'Stats og tweaks'!$C$7))-'Stats og tweaks'!$C$7)/'Stats og tweaks'!$D$35,0)*'Stats og tweaks'!D35))</f>
        <v>5</v>
      </c>
      <c r="H48" s="4" t="s">
        <v>67</v>
      </c>
      <c r="I48" s="5" t="str">
        <f>'Stats og tweaks'!B$12</f>
        <v>Chest-supported rows</v>
      </c>
      <c r="J48" s="5">
        <v>1</v>
      </c>
      <c r="K48" s="5" t="s">
        <v>72</v>
      </c>
      <c r="L48" s="5">
        <v>5</v>
      </c>
      <c r="M48" s="5" t="s">
        <v>61</v>
      </c>
      <c r="N48" s="6">
        <f>ROUND((0.6*(100+'Stats og tweaks'!$D$34)/100*Sheet2!N14)/'Stats og tweaks'!$D$35,0)*'Stats og tweaks'!$D$35</f>
        <v>47.5</v>
      </c>
      <c r="O48" s="4" t="s">
        <v>66</v>
      </c>
      <c r="P48" s="5" t="str">
        <f>'Stats og tweaks'!C$12</f>
        <v>Frivend</v>
      </c>
      <c r="Q48" s="5">
        <v>10</v>
      </c>
      <c r="R48" s="5" t="s">
        <v>74</v>
      </c>
      <c r="S48" s="5">
        <v>5</v>
      </c>
      <c r="T48" s="5" t="s">
        <v>61</v>
      </c>
      <c r="U48" s="6">
        <f>ROUND((('Stats og tweaks'!$D$33)/100*U71)/'Stats og tweaks'!$D$35,0)*'Stats og tweaks'!$D$35</f>
        <v>77.5</v>
      </c>
    </row>
    <row r="49" spans="1:21" x14ac:dyDescent="0.2">
      <c r="A49" s="4" t="s">
        <v>67</v>
      </c>
      <c r="B49" s="5" t="str">
        <f>'Stats og tweaks'!A$13</f>
        <v>Front squat</v>
      </c>
      <c r="C49" s="5">
        <v>10</v>
      </c>
      <c r="D49" s="5" t="s">
        <v>72</v>
      </c>
      <c r="E49" s="5">
        <v>5</v>
      </c>
      <c r="F49" s="5" t="s">
        <v>60</v>
      </c>
      <c r="G49" s="6">
        <f>ROUND((('Stats og tweaks'!$D$33)/100*G27)/'Stats og tweaks'!$D$35,0)*'Stats og tweaks'!$D$35</f>
        <v>82.5</v>
      </c>
      <c r="H49" s="4"/>
      <c r="I49" s="16" t="str">
        <f>'Stats og tweaks'!B$12</f>
        <v>Chest-supported rows</v>
      </c>
      <c r="J49" s="5">
        <v>1</v>
      </c>
      <c r="K49" s="5" t="s">
        <v>72</v>
      </c>
      <c r="L49" s="5">
        <v>5</v>
      </c>
      <c r="M49" s="5" t="s">
        <v>61</v>
      </c>
      <c r="N49" s="6">
        <f>ROUND((0.7*(100+'Stats og tweaks'!$D$34)/100*Sheet2!N14)/'Stats og tweaks'!$D$35,0)*'Stats og tweaks'!$D$35</f>
        <v>55</v>
      </c>
      <c r="O49" s="4" t="s">
        <v>67</v>
      </c>
      <c r="P49" s="5" t="str">
        <f>'Stats og tweaks'!C$13</f>
        <v>Back squat</v>
      </c>
      <c r="Q49" s="5">
        <v>10</v>
      </c>
      <c r="R49" s="5" t="s">
        <v>72</v>
      </c>
      <c r="S49" s="5">
        <v>5</v>
      </c>
      <c r="T49" s="5" t="s">
        <v>61</v>
      </c>
      <c r="U49" s="6">
        <f>ROUND((('Stats og tweaks'!$D$33)/100*Sheet2!U27)/'Stats og tweaks'!$D$35,0)*'Stats og tweaks'!$D$35</f>
        <v>97.5</v>
      </c>
    </row>
    <row r="50" spans="1:21" x14ac:dyDescent="0.2">
      <c r="A50" s="4" t="s">
        <v>28</v>
      </c>
      <c r="B50" s="14" t="str">
        <f>B12</f>
        <v>hanging leg raises</v>
      </c>
      <c r="C50" s="14">
        <f t="shared" ref="C50:F50" si="0">C12</f>
        <v>5</v>
      </c>
      <c r="D50" s="14" t="str">
        <f t="shared" si="0"/>
        <v>x</v>
      </c>
      <c r="E50" s="14" t="str">
        <f t="shared" si="0"/>
        <v>5-10</v>
      </c>
      <c r="F50" s="14" t="str">
        <f t="shared" si="0"/>
        <v>@</v>
      </c>
      <c r="G50" s="7">
        <f>G12</f>
        <v>0</v>
      </c>
      <c r="H50" s="4"/>
      <c r="I50" s="16" t="str">
        <f>'Stats og tweaks'!B$12</f>
        <v>Chest-supported rows</v>
      </c>
      <c r="J50" s="5">
        <v>1</v>
      </c>
      <c r="K50" s="5" t="s">
        <v>72</v>
      </c>
      <c r="L50" s="5">
        <v>5</v>
      </c>
      <c r="M50" s="5" t="s">
        <v>61</v>
      </c>
      <c r="N50" s="6">
        <f>ROUND((0.8*(100+'Stats og tweaks'!$D$34)/100*Sheet2!N14)/'Stats og tweaks'!$D$35,0)*'Stats og tweaks'!$D$35</f>
        <v>65</v>
      </c>
      <c r="O50" s="4" t="s">
        <v>28</v>
      </c>
      <c r="P50" s="14" t="str">
        <f t="shared" ref="P50:U50" si="1">P12</f>
        <v>Cabelcrunches</v>
      </c>
      <c r="Q50" s="14">
        <f t="shared" si="1"/>
        <v>5</v>
      </c>
      <c r="R50" s="14" t="str">
        <f t="shared" si="1"/>
        <v>x</v>
      </c>
      <c r="S50" s="14">
        <f t="shared" si="1"/>
        <v>5</v>
      </c>
      <c r="T50" s="14" t="str">
        <f t="shared" si="1"/>
        <v>@</v>
      </c>
      <c r="U50" s="22">
        <f t="shared" si="1"/>
        <v>0</v>
      </c>
    </row>
    <row r="51" spans="1:21" x14ac:dyDescent="0.2">
      <c r="A51" s="4" t="s">
        <v>29</v>
      </c>
      <c r="B51" s="14" t="str">
        <f t="shared" ref="B51:G51" si="2">B13</f>
        <v>Rumænsk dødløft</v>
      </c>
      <c r="C51" s="14">
        <f t="shared" si="2"/>
        <v>5</v>
      </c>
      <c r="D51" s="14" t="str">
        <f t="shared" si="2"/>
        <v>x</v>
      </c>
      <c r="E51" s="14" t="str">
        <f t="shared" si="2"/>
        <v>6-8</v>
      </c>
      <c r="F51" s="14" t="str">
        <f t="shared" si="2"/>
        <v>@</v>
      </c>
      <c r="G51" s="7">
        <f t="shared" si="2"/>
        <v>0</v>
      </c>
      <c r="H51" s="4"/>
      <c r="I51" s="16" t="str">
        <f>'Stats og tweaks'!B$12</f>
        <v>Chest-supported rows</v>
      </c>
      <c r="J51" s="5">
        <v>1</v>
      </c>
      <c r="K51" s="5" t="s">
        <v>72</v>
      </c>
      <c r="L51" s="5">
        <v>5</v>
      </c>
      <c r="M51" s="5" t="s">
        <v>61</v>
      </c>
      <c r="N51" s="6">
        <f>ROUND((0.9*(100+'Stats og tweaks'!$D$34)/100*Sheet2!N14)/'Stats og tweaks'!$D$35,0)*'Stats og tweaks'!$D$35</f>
        <v>72.5</v>
      </c>
      <c r="O51" s="4" t="s">
        <v>29</v>
      </c>
      <c r="P51" s="14" t="str">
        <f t="shared" ref="P51:U51" si="3">P13</f>
        <v>leg curl</v>
      </c>
      <c r="Q51" s="14">
        <f t="shared" si="3"/>
        <v>5</v>
      </c>
      <c r="R51" s="14" t="str">
        <f t="shared" si="3"/>
        <v>x</v>
      </c>
      <c r="S51" s="14" t="str">
        <f t="shared" si="3"/>
        <v>6-8</v>
      </c>
      <c r="T51" s="14" t="str">
        <f t="shared" si="3"/>
        <v>@</v>
      </c>
      <c r="U51" s="22">
        <f t="shared" si="3"/>
        <v>0</v>
      </c>
    </row>
    <row r="52" spans="1:21" x14ac:dyDescent="0.2">
      <c r="A52" s="4" t="s">
        <v>62</v>
      </c>
      <c r="B52" s="14" t="str">
        <f t="shared" ref="B52:G52" si="4">B14</f>
        <v>Plate raises</v>
      </c>
      <c r="C52" s="14">
        <f t="shared" si="4"/>
        <v>10</v>
      </c>
      <c r="D52" s="14" t="str">
        <f t="shared" si="4"/>
        <v>x</v>
      </c>
      <c r="E52" s="14">
        <f t="shared" si="4"/>
        <v>5</v>
      </c>
      <c r="F52" s="14" t="str">
        <f t="shared" si="4"/>
        <v>@</v>
      </c>
      <c r="G52" s="7">
        <f t="shared" si="4"/>
        <v>0</v>
      </c>
      <c r="H52" s="4"/>
      <c r="I52" s="16" t="str">
        <f>'Stats og tweaks'!B$12</f>
        <v>Chest-supported rows</v>
      </c>
      <c r="J52" s="5">
        <v>1</v>
      </c>
      <c r="K52" s="5" t="s">
        <v>72</v>
      </c>
      <c r="L52" s="5">
        <v>5</v>
      </c>
      <c r="M52" s="5" t="s">
        <v>61</v>
      </c>
      <c r="N52" s="6">
        <f>ROUND((1*(100+'Stats og tweaks'!$D$34)/100*Sheet2!N14)/'Stats og tweaks'!$D$35,0)*'Stats og tweaks'!$D$35</f>
        <v>80</v>
      </c>
      <c r="O52" s="4" t="s">
        <v>86</v>
      </c>
      <c r="P52" s="14" t="str">
        <f t="shared" ref="P52:U53" si="5">P14</f>
        <v>Læg</v>
      </c>
      <c r="Q52" s="14">
        <f t="shared" si="5"/>
        <v>10</v>
      </c>
      <c r="R52" s="14" t="str">
        <f t="shared" si="5"/>
        <v>x</v>
      </c>
      <c r="S52" s="14">
        <f t="shared" si="5"/>
        <v>5</v>
      </c>
      <c r="T52" s="14" t="str">
        <f t="shared" si="5"/>
        <v>@</v>
      </c>
      <c r="U52" s="22">
        <f t="shared" si="5"/>
        <v>0</v>
      </c>
    </row>
    <row r="53" spans="1:21" x14ac:dyDescent="0.2">
      <c r="A53" s="4" t="s">
        <v>88</v>
      </c>
      <c r="B53" s="14" t="str">
        <f t="shared" ref="B53:G53" si="6">B15</f>
        <v>Stiff-arm kickbacks</v>
      </c>
      <c r="C53" s="14">
        <f t="shared" si="6"/>
        <v>10</v>
      </c>
      <c r="D53" s="14" t="str">
        <f t="shared" si="6"/>
        <v>x</v>
      </c>
      <c r="E53" s="14">
        <f t="shared" si="6"/>
        <v>5</v>
      </c>
      <c r="F53" s="14" t="str">
        <f t="shared" si="6"/>
        <v>@</v>
      </c>
      <c r="G53" s="7">
        <f t="shared" si="6"/>
        <v>0</v>
      </c>
      <c r="H53" s="4"/>
      <c r="I53" s="16" t="str">
        <f>'Stats og tweaks'!B$12</f>
        <v>Chest-supported rows</v>
      </c>
      <c r="J53" s="5">
        <v>5</v>
      </c>
      <c r="K53" s="5" t="s">
        <v>72</v>
      </c>
      <c r="L53" s="5">
        <v>5</v>
      </c>
      <c r="M53" s="5" t="s">
        <v>61</v>
      </c>
      <c r="N53" s="6">
        <f>ROUND((('Stats og tweaks'!$D$33)/100*(100+'Stats og tweaks'!$D$34)/100*Sheet2!N14)/'Stats og tweaks'!$D$35,0)*'Stats og tweaks'!$D$35</f>
        <v>65</v>
      </c>
      <c r="O53" s="4" t="s">
        <v>88</v>
      </c>
      <c r="P53" s="14" t="str">
        <f t="shared" si="5"/>
        <v>ext rotations</v>
      </c>
      <c r="Q53" s="14">
        <f t="shared" si="5"/>
        <v>10</v>
      </c>
      <c r="R53" s="14" t="str">
        <f t="shared" si="5"/>
        <v>x</v>
      </c>
      <c r="S53" s="14">
        <f t="shared" si="5"/>
        <v>5</v>
      </c>
      <c r="T53" s="14" t="str">
        <f t="shared" si="5"/>
        <v>@</v>
      </c>
      <c r="U53" s="22">
        <f t="shared" si="5"/>
        <v>0</v>
      </c>
    </row>
    <row r="54" spans="1:21" x14ac:dyDescent="0.2">
      <c r="A54" s="4"/>
      <c r="B54" s="5"/>
      <c r="C54" s="5"/>
      <c r="D54" s="5"/>
      <c r="E54" s="5"/>
      <c r="F54" s="5"/>
      <c r="G54" s="7"/>
      <c r="H54" s="4" t="s">
        <v>85</v>
      </c>
      <c r="I54" s="5" t="str">
        <f>'Stats og tweaks'!B$11</f>
        <v>Bænkpres</v>
      </c>
      <c r="J54" s="5">
        <v>10</v>
      </c>
      <c r="K54" s="5" t="s">
        <v>74</v>
      </c>
      <c r="L54" s="5">
        <v>5</v>
      </c>
      <c r="M54" s="5" t="s">
        <v>61</v>
      </c>
      <c r="N54" s="6">
        <f>ROUND((('Stats og tweaks'!$D$33)/100*Sheet2!N27)/'Stats og tweaks'!$D$35,0)*'Stats og tweaks'!$D$35</f>
        <v>72.5</v>
      </c>
      <c r="O54" s="4"/>
      <c r="P54" s="5"/>
      <c r="Q54" s="5"/>
      <c r="R54" s="5"/>
      <c r="S54" s="5"/>
      <c r="T54" s="5"/>
      <c r="U54" s="7"/>
    </row>
    <row r="55" spans="1:21" x14ac:dyDescent="0.2">
      <c r="A55" s="4"/>
      <c r="B55" s="5"/>
      <c r="C55" s="5"/>
      <c r="D55" s="5"/>
      <c r="E55" s="5"/>
      <c r="F55" s="5"/>
      <c r="G55" s="7"/>
      <c r="H55" s="4" t="s">
        <v>86</v>
      </c>
      <c r="I55" s="14" t="str">
        <f>I17</f>
        <v>Seated incline DB curl</v>
      </c>
      <c r="J55" s="14">
        <f t="shared" ref="J55:M55" si="7">J17</f>
        <v>10</v>
      </c>
      <c r="K55" s="14" t="str">
        <f t="shared" si="7"/>
        <v>x</v>
      </c>
      <c r="L55" s="14">
        <f t="shared" si="7"/>
        <v>5</v>
      </c>
      <c r="M55" s="14" t="str">
        <f t="shared" si="7"/>
        <v>@</v>
      </c>
      <c r="N55" s="7">
        <f>N17</f>
        <v>0</v>
      </c>
      <c r="O55" s="4"/>
      <c r="P55" s="5"/>
      <c r="Q55" s="5"/>
      <c r="R55" s="5"/>
      <c r="S55" s="5"/>
      <c r="T55" s="5"/>
      <c r="U55" s="7"/>
    </row>
    <row r="56" spans="1:21" x14ac:dyDescent="0.2">
      <c r="A56" s="4"/>
      <c r="B56" s="5"/>
      <c r="C56" s="5"/>
      <c r="D56" s="5"/>
      <c r="E56" s="5"/>
      <c r="F56" s="5"/>
      <c r="G56" s="7"/>
      <c r="H56" s="4" t="s">
        <v>88</v>
      </c>
      <c r="I56" s="14" t="str">
        <f>I18</f>
        <v>Skull crushers</v>
      </c>
      <c r="J56" s="14">
        <f>J18</f>
        <v>10</v>
      </c>
      <c r="K56" s="14" t="str">
        <f>K18</f>
        <v>x</v>
      </c>
      <c r="L56" s="14">
        <f>L18</f>
        <v>5</v>
      </c>
      <c r="M56" s="14" t="str">
        <f>M18</f>
        <v>@</v>
      </c>
      <c r="N56" s="7">
        <f>N18</f>
        <v>0</v>
      </c>
      <c r="O56" s="4"/>
      <c r="P56" s="5"/>
      <c r="Q56" s="5"/>
      <c r="R56" s="5"/>
      <c r="S56" s="5"/>
      <c r="T56" s="5"/>
      <c r="U56" s="7"/>
    </row>
    <row r="57" spans="1:21" ht="13.5" thickBot="1" x14ac:dyDescent="0.25">
      <c r="A57" s="8"/>
      <c r="B57" s="9"/>
      <c r="C57" s="9"/>
      <c r="D57" s="9"/>
      <c r="E57" s="9"/>
      <c r="F57" s="9"/>
      <c r="G57" s="10"/>
      <c r="H57" s="8"/>
      <c r="I57" s="9"/>
      <c r="J57" s="9"/>
      <c r="K57" s="9"/>
      <c r="L57" s="9"/>
      <c r="M57" s="9"/>
      <c r="N57" s="10"/>
      <c r="O57" s="8"/>
      <c r="P57" s="9"/>
      <c r="Q57" s="9"/>
      <c r="R57" s="9"/>
      <c r="S57" s="9"/>
      <c r="T57" s="9"/>
      <c r="U57" s="10"/>
    </row>
    <row r="59" spans="1:21" ht="25.5" thickBot="1" x14ac:dyDescent="0.35">
      <c r="A59" s="25" t="s">
        <v>42</v>
      </c>
    </row>
    <row r="60" spans="1:21" ht="13.5" thickBot="1" x14ac:dyDescent="0.25">
      <c r="A60" s="11" t="s">
        <v>95</v>
      </c>
      <c r="B60" s="12"/>
      <c r="C60" s="12"/>
      <c r="D60" s="12"/>
      <c r="E60" s="12"/>
      <c r="F60" s="12"/>
      <c r="G60" s="13"/>
      <c r="H60" s="11" t="s">
        <v>96</v>
      </c>
      <c r="I60" s="12"/>
      <c r="J60" s="12"/>
      <c r="K60" s="12"/>
      <c r="L60" s="12"/>
      <c r="M60" s="12"/>
      <c r="N60" s="13"/>
      <c r="O60" s="11" t="s">
        <v>97</v>
      </c>
      <c r="P60" s="12"/>
      <c r="Q60" s="12"/>
      <c r="R60" s="12"/>
      <c r="S60" s="12"/>
      <c r="T60" s="12"/>
      <c r="U60" s="13"/>
    </row>
    <row r="61" spans="1:21" x14ac:dyDescent="0.2">
      <c r="A61" s="4" t="s">
        <v>84</v>
      </c>
      <c r="B61" s="5" t="str">
        <f>'Stats og tweaks'!A$13</f>
        <v>Front squat</v>
      </c>
      <c r="C61" s="5">
        <v>1</v>
      </c>
      <c r="D61" s="5" t="s">
        <v>72</v>
      </c>
      <c r="E61" s="5">
        <v>5</v>
      </c>
      <c r="F61" s="5" t="s">
        <v>61</v>
      </c>
      <c r="G61" s="6">
        <f>ROUND((0.6*(100+'Stats og tweaks'!$D$34)/100*Sheet2!G27)/'Stats og tweaks'!$D$35,0)*'Stats og tweaks'!$D$35</f>
        <v>62.5</v>
      </c>
      <c r="H61" s="4" t="s">
        <v>90</v>
      </c>
      <c r="I61" s="5" t="str">
        <f>'Stats og tweaks'!B$11</f>
        <v>Bænkpres</v>
      </c>
      <c r="J61" s="5">
        <v>1</v>
      </c>
      <c r="K61" s="5" t="s">
        <v>72</v>
      </c>
      <c r="L61" s="5">
        <v>5</v>
      </c>
      <c r="M61" s="5" t="s">
        <v>61</v>
      </c>
      <c r="N61" s="6">
        <f>ROUND((0.6*(100+'Stats og tweaks'!$D$34)/100*Sheet2!N27)/'Stats og tweaks'!$D$35,0)*'Stats og tweaks'!$D$35</f>
        <v>55</v>
      </c>
      <c r="O61" s="4" t="s">
        <v>84</v>
      </c>
      <c r="P61" s="5" t="str">
        <f>'Stats og tweaks'!C$13</f>
        <v>Back squat</v>
      </c>
      <c r="Q61" s="5">
        <v>1</v>
      </c>
      <c r="R61" s="5" t="s">
        <v>72</v>
      </c>
      <c r="S61" s="5">
        <v>5</v>
      </c>
      <c r="T61" s="5" t="s">
        <v>61</v>
      </c>
      <c r="U61" s="6">
        <f>ROUND((0.6*(100+'Stats og tweaks'!$D$34)/100*Sheet2!U27)/'Stats og tweaks'!$D$35,0)*'Stats og tweaks'!$D$35</f>
        <v>75</v>
      </c>
    </row>
    <row r="62" spans="1:21" x14ac:dyDescent="0.2">
      <c r="A62" s="4"/>
      <c r="B62" s="16" t="str">
        <f>'Stats og tweaks'!A$13</f>
        <v>Front squat</v>
      </c>
      <c r="C62" s="5">
        <v>1</v>
      </c>
      <c r="D62" s="5" t="s">
        <v>72</v>
      </c>
      <c r="E62" s="5">
        <v>5</v>
      </c>
      <c r="F62" s="5" t="s">
        <v>61</v>
      </c>
      <c r="G62" s="6">
        <f>ROUND((0.7*(100+'Stats og tweaks'!$D$34)/100*Sheet2!G27)/'Stats og tweaks'!$D$35,0)*'Stats og tweaks'!$D$35</f>
        <v>75</v>
      </c>
      <c r="H62" s="4"/>
      <c r="I62" s="16" t="str">
        <f>'Stats og tweaks'!B$11</f>
        <v>Bænkpres</v>
      </c>
      <c r="J62" s="5">
        <v>1</v>
      </c>
      <c r="K62" s="5" t="s">
        <v>72</v>
      </c>
      <c r="L62" s="5">
        <v>5</v>
      </c>
      <c r="M62" s="5" t="s">
        <v>61</v>
      </c>
      <c r="N62" s="6">
        <f>ROUND((0.7*(100+'Stats og tweaks'!$D$34)/100*Sheet2!N27)/'Stats og tweaks'!$D$35,0)*'Stats og tweaks'!$D$35</f>
        <v>65</v>
      </c>
      <c r="O62" s="4"/>
      <c r="P62" s="16" t="str">
        <f>'Stats og tweaks'!C$13</f>
        <v>Back squat</v>
      </c>
      <c r="Q62" s="5">
        <v>1</v>
      </c>
      <c r="R62" s="5" t="s">
        <v>72</v>
      </c>
      <c r="S62" s="5">
        <v>5</v>
      </c>
      <c r="T62" s="5" t="s">
        <v>61</v>
      </c>
      <c r="U62" s="6">
        <f>ROUND((0.7*(100+'Stats og tweaks'!$D$34)/100*Sheet2!U27)/'Stats og tweaks'!$D$35,0)*'Stats og tweaks'!$D$35</f>
        <v>90</v>
      </c>
    </row>
    <row r="63" spans="1:21" x14ac:dyDescent="0.2">
      <c r="A63" s="4"/>
      <c r="B63" s="16" t="str">
        <f>'Stats og tweaks'!A$13</f>
        <v>Front squat</v>
      </c>
      <c r="C63" s="5">
        <v>1</v>
      </c>
      <c r="D63" s="5" t="s">
        <v>72</v>
      </c>
      <c r="E63" s="5">
        <v>5</v>
      </c>
      <c r="F63" s="5" t="s">
        <v>61</v>
      </c>
      <c r="G63" s="6">
        <f>ROUND((0.8*(100+'Stats og tweaks'!$D$34)/100*Sheet2!G27)/'Stats og tweaks'!$D$35,0)*'Stats og tweaks'!$D$35</f>
        <v>85</v>
      </c>
      <c r="H63" s="4"/>
      <c r="I63" s="16" t="str">
        <f>'Stats og tweaks'!B$11</f>
        <v>Bænkpres</v>
      </c>
      <c r="J63" s="5">
        <v>1</v>
      </c>
      <c r="K63" s="5" t="s">
        <v>72</v>
      </c>
      <c r="L63" s="5">
        <v>5</v>
      </c>
      <c r="M63" s="5" t="s">
        <v>61</v>
      </c>
      <c r="N63" s="6">
        <f>ROUND((0.8*(100+'Stats og tweaks'!$D$34)/100*Sheet2!N27)/'Stats og tweaks'!$D$35,0)*'Stats og tweaks'!$D$35</f>
        <v>75</v>
      </c>
      <c r="O63" s="4"/>
      <c r="P63" s="16" t="str">
        <f>'Stats og tweaks'!C$13</f>
        <v>Back squat</v>
      </c>
      <c r="Q63" s="5">
        <v>1</v>
      </c>
      <c r="R63" s="5" t="s">
        <v>72</v>
      </c>
      <c r="S63" s="5">
        <v>5</v>
      </c>
      <c r="T63" s="5" t="s">
        <v>61</v>
      </c>
      <c r="U63" s="6">
        <f>ROUND((0.8*(100+'Stats og tweaks'!$D$34)/100*Sheet2!U27)/'Stats og tweaks'!$D$35,0)*'Stats og tweaks'!$D$35</f>
        <v>102.5</v>
      </c>
    </row>
    <row r="64" spans="1:21" x14ac:dyDescent="0.2">
      <c r="A64" s="4"/>
      <c r="B64" s="16" t="str">
        <f>'Stats og tweaks'!A$13</f>
        <v>Front squat</v>
      </c>
      <c r="C64" s="5">
        <v>1</v>
      </c>
      <c r="D64" s="5" t="s">
        <v>72</v>
      </c>
      <c r="E64" s="5">
        <v>5</v>
      </c>
      <c r="F64" s="5" t="s">
        <v>61</v>
      </c>
      <c r="G64" s="6">
        <f>ROUND((0.9*(100+'Stats og tweaks'!$D$34)/100*Sheet2!G27)/'Stats og tweaks'!$D$35,0)*'Stats og tweaks'!$D$35</f>
        <v>95</v>
      </c>
      <c r="H64" s="4"/>
      <c r="I64" s="16" t="str">
        <f>'Stats og tweaks'!B$11</f>
        <v>Bænkpres</v>
      </c>
      <c r="J64" s="5">
        <v>1</v>
      </c>
      <c r="K64" s="5" t="s">
        <v>72</v>
      </c>
      <c r="L64" s="5">
        <v>5</v>
      </c>
      <c r="M64" s="5" t="s">
        <v>61</v>
      </c>
      <c r="N64" s="6">
        <f>ROUND((0.9*(100+'Stats og tweaks'!$D$34)/100*Sheet2!N27)/'Stats og tweaks'!$D$35,0)*'Stats og tweaks'!$D$35</f>
        <v>85</v>
      </c>
      <c r="O64" s="4"/>
      <c r="P64" s="16" t="str">
        <f>'Stats og tweaks'!C$13</f>
        <v>Back squat</v>
      </c>
      <c r="Q64" s="5">
        <v>1</v>
      </c>
      <c r="R64" s="5" t="s">
        <v>72</v>
      </c>
      <c r="S64" s="5">
        <v>5</v>
      </c>
      <c r="T64" s="5" t="s">
        <v>61</v>
      </c>
      <c r="U64" s="6">
        <f>ROUND((0.9*(100+'Stats og tweaks'!$D$34)/100*Sheet2!U27)/'Stats og tweaks'!$D$35,0)*'Stats og tweaks'!$D$35</f>
        <v>115</v>
      </c>
    </row>
    <row r="65" spans="1:21" x14ac:dyDescent="0.2">
      <c r="A65" s="4"/>
      <c r="B65" s="16" t="str">
        <f>'Stats og tweaks'!A$13</f>
        <v>Front squat</v>
      </c>
      <c r="C65" s="5">
        <v>1</v>
      </c>
      <c r="D65" s="5" t="s">
        <v>72</v>
      </c>
      <c r="E65" s="5">
        <v>5</v>
      </c>
      <c r="F65" s="5" t="s">
        <v>61</v>
      </c>
      <c r="G65" s="6">
        <f>ROUND((1*(100+'Stats og tweaks'!$D$34)/100*Sheet2!G27)/'Stats og tweaks'!$D$35,0)*'Stats og tweaks'!$D$35</f>
        <v>105</v>
      </c>
      <c r="H65" s="4"/>
      <c r="I65" s="16" t="str">
        <f>'Stats og tweaks'!B$11</f>
        <v>Bænkpres</v>
      </c>
      <c r="J65" s="5">
        <v>1</v>
      </c>
      <c r="K65" s="5" t="s">
        <v>72</v>
      </c>
      <c r="L65" s="5">
        <v>5</v>
      </c>
      <c r="M65" s="5" t="s">
        <v>61</v>
      </c>
      <c r="N65" s="6">
        <f>ROUND((1*(100+'Stats og tweaks'!$D$34)/100*Sheet2!N27)/'Stats og tweaks'!$D$35,0)*'Stats og tweaks'!$D$35</f>
        <v>92.5</v>
      </c>
      <c r="O65" s="4"/>
      <c r="P65" s="16" t="str">
        <f>'Stats og tweaks'!C$13</f>
        <v>Back squat</v>
      </c>
      <c r="Q65" s="5">
        <v>1</v>
      </c>
      <c r="R65" s="5" t="s">
        <v>72</v>
      </c>
      <c r="S65" s="5">
        <v>5</v>
      </c>
      <c r="T65" s="5" t="s">
        <v>61</v>
      </c>
      <c r="U65" s="6">
        <f>ROUND((1*(100+'Stats og tweaks'!$D$34)/100*Sheet2!U27)/'Stats og tweaks'!$D$35,0)*'Stats og tweaks'!$D$35</f>
        <v>127.5</v>
      </c>
    </row>
    <row r="66" spans="1:21" x14ac:dyDescent="0.2">
      <c r="A66" s="4"/>
      <c r="B66" s="16" t="str">
        <f>'Stats og tweaks'!A$13</f>
        <v>Front squat</v>
      </c>
      <c r="C66" s="5">
        <v>5</v>
      </c>
      <c r="D66" s="5" t="s">
        <v>72</v>
      </c>
      <c r="E66" s="5">
        <v>5</v>
      </c>
      <c r="F66" s="5" t="s">
        <v>61</v>
      </c>
      <c r="G66" s="6">
        <f>ROUND((('Stats og tweaks'!$D$33)/100*(100+'Stats og tweaks'!$D$34)/100*Sheet2!G27)/'Stats og tweaks'!$D$35,0)*'Stats og tweaks'!$D$35</f>
        <v>85</v>
      </c>
      <c r="H66" s="4"/>
      <c r="I66" s="16" t="str">
        <f>'Stats og tweaks'!B$11</f>
        <v>Bænkpres</v>
      </c>
      <c r="J66" s="5">
        <v>5</v>
      </c>
      <c r="K66" s="5" t="s">
        <v>72</v>
      </c>
      <c r="L66" s="5">
        <v>5</v>
      </c>
      <c r="M66" s="5" t="s">
        <v>61</v>
      </c>
      <c r="N66" s="6">
        <f>ROUND((('Stats og tweaks'!$D$33)/100*(100+'Stats og tweaks'!$D$34)/100*Sheet2!N27)/'Stats og tweaks'!$D$35,0)*'Stats og tweaks'!$D$35</f>
        <v>75</v>
      </c>
      <c r="O66" s="4"/>
      <c r="P66" s="16" t="str">
        <f>'Stats og tweaks'!C$13</f>
        <v>Back squat</v>
      </c>
      <c r="Q66" s="5">
        <v>5</v>
      </c>
      <c r="R66" s="5" t="s">
        <v>72</v>
      </c>
      <c r="S66" s="5">
        <v>5</v>
      </c>
      <c r="T66" s="5" t="s">
        <v>61</v>
      </c>
      <c r="U66" s="6">
        <f>ROUND((('Stats og tweaks'!$D$33)/100*(100+'Stats og tweaks'!$D$34)/100*Sheet2!U27)/'Stats og tweaks'!$D$35,0)*'Stats og tweaks'!$D$35</f>
        <v>102.5</v>
      </c>
    </row>
    <row r="67" spans="1:21" x14ac:dyDescent="0.2">
      <c r="A67" s="4" t="s">
        <v>67</v>
      </c>
      <c r="B67" s="5" t="str">
        <f>'Stats og tweaks'!A$12</f>
        <v>Kropshævninger m. Vægt</v>
      </c>
      <c r="C67" s="5">
        <v>1</v>
      </c>
      <c r="D67" s="5" t="s">
        <v>72</v>
      </c>
      <c r="E67" s="5">
        <v>5</v>
      </c>
      <c r="F67" s="5" t="s">
        <v>61</v>
      </c>
      <c r="G67" s="6" t="str">
        <f>IF(ROUND(((0.6*(100+'Stats og tweaks'!$D$34)/100*(Sheet2!G33+'Stats og tweaks'!$C$7))-'Stats og tweaks'!$C$7)/'Stats og tweaks'!$D$35,0)*'Stats og tweaks'!$D$35&lt;0, "kropsvægt", ROUND(((0.6*(100+'Stats og tweaks'!$D$34)/100*(Sheet2!G33+'Stats og tweaks'!$C$7))-'Stats og tweaks'!$C$7)/'Stats og tweaks'!$D$35,0)*'Stats og tweaks'!$D$35)</f>
        <v>kropsvægt</v>
      </c>
      <c r="H67" s="4" t="s">
        <v>91</v>
      </c>
      <c r="I67" s="5" t="str">
        <f>'Stats og tweaks'!B$12</f>
        <v>Chest-supported rows</v>
      </c>
      <c r="J67" s="5">
        <v>10</v>
      </c>
      <c r="K67" s="5" t="s">
        <v>72</v>
      </c>
      <c r="L67" s="5">
        <v>5</v>
      </c>
      <c r="M67" s="5" t="s">
        <v>61</v>
      </c>
      <c r="N67" s="6">
        <f>ROUND((('Stats og tweaks'!$D$33)/100*N52)/'Stats og tweaks'!$D$35,0)*'Stats og tweaks'!$D$35</f>
        <v>65</v>
      </c>
      <c r="O67" s="4" t="s">
        <v>67</v>
      </c>
      <c r="P67" s="5" t="str">
        <f>'Stats og tweaks'!C$12</f>
        <v>Frivend</v>
      </c>
      <c r="Q67" s="5">
        <v>1</v>
      </c>
      <c r="R67" s="5" t="s">
        <v>72</v>
      </c>
      <c r="S67" s="5">
        <v>5</v>
      </c>
      <c r="T67" s="5" t="s">
        <v>61</v>
      </c>
      <c r="U67" s="6">
        <f>ROUND((0.6*(100+'Stats og tweaks'!$D$34)/100*Sheet2!U33)/'Stats og tweaks'!$D$35,0)*'Stats og tweaks'!$D$35</f>
        <v>60</v>
      </c>
    </row>
    <row r="68" spans="1:21" x14ac:dyDescent="0.2">
      <c r="A68" s="4"/>
      <c r="B68" s="16" t="str">
        <f>'Stats og tweaks'!A$12</f>
        <v>Kropshævninger m. Vægt</v>
      </c>
      <c r="C68" s="5">
        <v>1</v>
      </c>
      <c r="D68" s="5" t="s">
        <v>72</v>
      </c>
      <c r="E68" s="5">
        <v>5</v>
      </c>
      <c r="F68" s="5" t="s">
        <v>61</v>
      </c>
      <c r="G68" s="6" t="str">
        <f>IF(ROUND(((0.7*(100+'Stats og tweaks'!$D$34)/100*(Sheet2!G33+'Stats og tweaks'!$C$7))-'Stats og tweaks'!$C$7)/'Stats og tweaks'!$D$35,0)*'Stats og tweaks'!$D$35&lt;0, "kropsvægt", ROUND(((0.7*(100+'Stats og tweaks'!$D$34)/100*(Sheet2!G33+'Stats og tweaks'!$C$7))-'Stats og tweaks'!$C$7)/'Stats og tweaks'!$D$35,0)*'Stats og tweaks'!$D$35)</f>
        <v>kropsvægt</v>
      </c>
      <c r="H68" s="4" t="s">
        <v>92</v>
      </c>
      <c r="I68" s="5" t="str">
        <f>'Stats og tweaks'!B$13</f>
        <v>Dødløft</v>
      </c>
      <c r="J68" s="5">
        <v>10</v>
      </c>
      <c r="K68" s="5" t="s">
        <v>72</v>
      </c>
      <c r="L68" s="5">
        <v>5</v>
      </c>
      <c r="M68" s="5" t="s">
        <v>61</v>
      </c>
      <c r="N68" s="6">
        <f>ROUND((('Stats og tweaks'!$D$33)/100*N46)/'Stats og tweaks'!$D$35,0)*'Stats og tweaks'!$D$35</f>
        <v>125</v>
      </c>
      <c r="O68" s="4"/>
      <c r="P68" s="16" t="str">
        <f>'Stats og tweaks'!C$12</f>
        <v>Frivend</v>
      </c>
      <c r="Q68" s="5">
        <v>1</v>
      </c>
      <c r="R68" s="5" t="s">
        <v>72</v>
      </c>
      <c r="S68" s="5">
        <v>5</v>
      </c>
      <c r="T68" s="5" t="s">
        <v>61</v>
      </c>
      <c r="U68" s="6">
        <f>ROUND((0.7*(100+'Stats og tweaks'!$D$34)/100*Sheet2!U33)/'Stats og tweaks'!$D$35,0)*'Stats og tweaks'!$D$35</f>
        <v>70</v>
      </c>
    </row>
    <row r="69" spans="1:21" x14ac:dyDescent="0.2">
      <c r="A69" s="4"/>
      <c r="B69" s="16" t="str">
        <f>'Stats og tweaks'!A$12</f>
        <v>Kropshævninger m. Vægt</v>
      </c>
      <c r="C69" s="5">
        <v>1</v>
      </c>
      <c r="D69" s="5" t="s">
        <v>72</v>
      </c>
      <c r="E69" s="5">
        <v>5</v>
      </c>
      <c r="F69" s="5" t="s">
        <v>61</v>
      </c>
      <c r="G69" s="6">
        <f>IF(ROUND(((0.8*(100+'Stats og tweaks'!$D$34)/100*(Sheet2!G33+'Stats og tweaks'!$C$7))-'Stats og tweaks'!$C$7)/'Stats og tweaks'!$D$35,0)*'Stats og tweaks'!$D$35&lt;0, "kropsvægt", ROUND(((0.8*(100+'Stats og tweaks'!$D$34)/100*(Sheet2!G33+'Stats og tweaks'!$C$7))-'Stats og tweaks'!$C$7)/'Stats og tweaks'!$D$35,0)*'Stats og tweaks'!$D$35)</f>
        <v>7.5</v>
      </c>
      <c r="H69" s="4" t="s">
        <v>93</v>
      </c>
      <c r="I69" s="14" t="str">
        <f>I31</f>
        <v>Decline wt. Crunches</v>
      </c>
      <c r="J69" s="14">
        <f t="shared" ref="J69:N69" si="8">J31</f>
        <v>5</v>
      </c>
      <c r="K69" s="14" t="str">
        <f t="shared" si="8"/>
        <v>x</v>
      </c>
      <c r="L69" s="14">
        <f t="shared" si="8"/>
        <v>5</v>
      </c>
      <c r="M69" s="14" t="str">
        <f t="shared" si="8"/>
        <v>@</v>
      </c>
      <c r="N69" s="14">
        <f t="shared" si="8"/>
        <v>0</v>
      </c>
      <c r="O69" s="4"/>
      <c r="P69" s="16" t="str">
        <f>'Stats og tweaks'!C$12</f>
        <v>Frivend</v>
      </c>
      <c r="Q69" s="5">
        <v>1</v>
      </c>
      <c r="R69" s="5" t="s">
        <v>72</v>
      </c>
      <c r="S69" s="5">
        <v>5</v>
      </c>
      <c r="T69" s="5" t="s">
        <v>61</v>
      </c>
      <c r="U69" s="6">
        <f>ROUND((0.8*(100+'Stats og tweaks'!$D$34)/100*Sheet2!U33)/'Stats og tweaks'!$D$35,0)*'Stats og tweaks'!$D$35</f>
        <v>77.5</v>
      </c>
    </row>
    <row r="70" spans="1:21" x14ac:dyDescent="0.2">
      <c r="A70" s="4"/>
      <c r="B70" s="16" t="str">
        <f>'Stats og tweaks'!A$12</f>
        <v>Kropshævninger m. Vægt</v>
      </c>
      <c r="C70" s="5">
        <v>1</v>
      </c>
      <c r="D70" s="5" t="s">
        <v>72</v>
      </c>
      <c r="E70" s="5">
        <v>5</v>
      </c>
      <c r="F70" s="5" t="s">
        <v>61</v>
      </c>
      <c r="G70" s="6">
        <f>IF(ROUND(((0.9*(100+'Stats og tweaks'!$D$34)/100*(Sheet2!G33+'Stats og tweaks'!$C$7))-'Stats og tweaks'!$C$7)/'Stats og tweaks'!$D$35,0)*'Stats og tweaks'!$D$35&lt;0, "kropsvægt", ROUND(((0.9*(100+'Stats og tweaks'!$D$34)/100*(Sheet2!G33+'Stats og tweaks'!$C$7))-'Stats og tweaks'!$C$7)/'Stats og tweaks'!$D$35,0)*'Stats og tweaks'!$D$35)</f>
        <v>22.5</v>
      </c>
      <c r="H70" s="4" t="s">
        <v>94</v>
      </c>
      <c r="I70" s="14" t="str">
        <f t="shared" ref="I70:N72" si="9">I32</f>
        <v>Side bends</v>
      </c>
      <c r="J70" s="14">
        <f t="shared" si="9"/>
        <v>5</v>
      </c>
      <c r="K70" s="14" t="str">
        <f t="shared" si="9"/>
        <v>x</v>
      </c>
      <c r="L70" s="14" t="str">
        <f t="shared" si="9"/>
        <v>6-8</v>
      </c>
      <c r="M70" s="14" t="str">
        <f t="shared" si="9"/>
        <v>@</v>
      </c>
      <c r="N70" s="14">
        <f t="shared" si="9"/>
        <v>0</v>
      </c>
      <c r="O70" s="4"/>
      <c r="P70" s="16" t="str">
        <f>'Stats og tweaks'!C$12</f>
        <v>Frivend</v>
      </c>
      <c r="Q70" s="5">
        <v>1</v>
      </c>
      <c r="R70" s="5" t="s">
        <v>72</v>
      </c>
      <c r="S70" s="5">
        <v>5</v>
      </c>
      <c r="T70" s="5" t="s">
        <v>61</v>
      </c>
      <c r="U70" s="6">
        <f>ROUND((0.9*(100+'Stats og tweaks'!$D$34)/100*Sheet2!U33)/'Stats og tweaks'!$D$35,0)*'Stats og tweaks'!$D$35</f>
        <v>87.5</v>
      </c>
    </row>
    <row r="71" spans="1:21" x14ac:dyDescent="0.2">
      <c r="A71" s="4"/>
      <c r="B71" s="16" t="str">
        <f>'Stats og tweaks'!A$12</f>
        <v>Kropshævninger m. Vægt</v>
      </c>
      <c r="C71" s="5">
        <v>1</v>
      </c>
      <c r="D71" s="5" t="s">
        <v>72</v>
      </c>
      <c r="E71" s="5">
        <v>5</v>
      </c>
      <c r="F71" s="5" t="s">
        <v>61</v>
      </c>
      <c r="G71" s="6">
        <f>IF(ROUND(((1*(100+'Stats og tweaks'!$D$34)/100*(Sheet2!G33+'Stats og tweaks'!$C$7))-'Stats og tweaks'!$C$7)/'Stats og tweaks'!$D$35,0)*'Stats og tweaks'!$D$35&lt;0, "kropsvægt", ROUND(((1*(100+'Stats og tweaks'!$D$34)/100*(Sheet2!G33+'Stats og tweaks'!$C$7))-'Stats og tweaks'!$C$7)/'Stats og tweaks'!$D$35,0)*'Stats og tweaks'!$D$35)</f>
        <v>35</v>
      </c>
      <c r="H71" s="4" t="s">
        <v>48</v>
      </c>
      <c r="I71" s="14" t="str">
        <f t="shared" si="9"/>
        <v>armbøjninger (evt. m. Vægt)</v>
      </c>
      <c r="J71" s="14">
        <f t="shared" si="9"/>
        <v>10</v>
      </c>
      <c r="K71" s="14" t="str">
        <f t="shared" si="9"/>
        <v>x</v>
      </c>
      <c r="L71" s="14">
        <f t="shared" si="9"/>
        <v>5</v>
      </c>
      <c r="M71" s="14" t="str">
        <f t="shared" si="9"/>
        <v>@</v>
      </c>
      <c r="N71" s="14">
        <f t="shared" si="9"/>
        <v>0</v>
      </c>
      <c r="O71" s="4"/>
      <c r="P71" s="16" t="str">
        <f>'Stats og tweaks'!C$12</f>
        <v>Frivend</v>
      </c>
      <c r="Q71" s="5">
        <v>1</v>
      </c>
      <c r="R71" s="5" t="s">
        <v>72</v>
      </c>
      <c r="S71" s="5">
        <v>5</v>
      </c>
      <c r="T71" s="5" t="s">
        <v>61</v>
      </c>
      <c r="U71" s="6">
        <f>ROUND((1*(100+'Stats og tweaks'!$D$34)/100*Sheet2!U33)/'Stats og tweaks'!$D$35,0)*'Stats og tweaks'!$D$35</f>
        <v>97.5</v>
      </c>
    </row>
    <row r="72" spans="1:21" x14ac:dyDescent="0.2">
      <c r="A72" s="4"/>
      <c r="B72" s="16" t="str">
        <f>'Stats og tweaks'!A$12</f>
        <v>Kropshævninger m. Vægt</v>
      </c>
      <c r="C72" s="5">
        <v>5</v>
      </c>
      <c r="D72" s="5" t="s">
        <v>72</v>
      </c>
      <c r="E72" s="5">
        <v>5</v>
      </c>
      <c r="F72" s="5" t="s">
        <v>61</v>
      </c>
      <c r="G72" s="6">
        <f>IF(ROUND(((('Stats og tweaks'!$D$33)/100*(100+'Stats og tweaks'!$D$34)/100*(Sheet2!G33+'Stats og tweaks'!$C$7))-'Stats og tweaks'!$C$7)/'Stats og tweaks'!$D$35,0)*'Stats og tweaks'!$D$35&lt;0, "kropsvægt", ROUND(((('Stats og tweaks'!$D$33)/100*(100+'Stats og tweaks'!$D$34)/100*(Sheet2!G33+'Stats og tweaks'!$C$7))-'Stats og tweaks'!$C$7)/'Stats og tweaks'!$D$35,0)*'Stats og tweaks'!$D$35)</f>
        <v>7.5</v>
      </c>
      <c r="H72" s="4" t="s">
        <v>49</v>
      </c>
      <c r="I72" s="14" t="str">
        <f t="shared" si="9"/>
        <v>inverted rows</v>
      </c>
      <c r="J72" s="14">
        <f t="shared" si="9"/>
        <v>10</v>
      </c>
      <c r="K72" s="14" t="str">
        <f t="shared" si="9"/>
        <v>x</v>
      </c>
      <c r="L72" s="14">
        <f t="shared" si="9"/>
        <v>5</v>
      </c>
      <c r="M72" s="14" t="str">
        <f t="shared" si="9"/>
        <v>@</v>
      </c>
      <c r="N72" s="14">
        <f t="shared" si="9"/>
        <v>0</v>
      </c>
      <c r="O72" s="4"/>
      <c r="P72" s="16" t="str">
        <f>'Stats og tweaks'!C$12</f>
        <v>Frivend</v>
      </c>
      <c r="Q72" s="5">
        <v>5</v>
      </c>
      <c r="R72" s="5" t="s">
        <v>72</v>
      </c>
      <c r="S72" s="5">
        <v>5</v>
      </c>
      <c r="T72" s="5" t="s">
        <v>61</v>
      </c>
      <c r="U72" s="6">
        <f>ROUND((('Stats og tweaks'!$D$33)/100*(100+'Stats og tweaks'!$D$34)/100*Sheet2!U33)/'Stats og tweaks'!$D$35,0)*'Stats og tweaks'!$D$35</f>
        <v>77.5</v>
      </c>
    </row>
    <row r="73" spans="1:21" x14ac:dyDescent="0.2">
      <c r="A73" s="4" t="s">
        <v>85</v>
      </c>
      <c r="B73" s="5" t="str">
        <f>'Stats og tweaks'!A$11</f>
        <v>Military press</v>
      </c>
      <c r="C73" s="5">
        <v>10</v>
      </c>
      <c r="D73" s="5" t="s">
        <v>74</v>
      </c>
      <c r="E73" s="5">
        <v>5</v>
      </c>
      <c r="F73" s="5" t="s">
        <v>61</v>
      </c>
      <c r="G73" s="6">
        <f>ROUND((('Stats og tweaks'!$D$33)/100*G46)/'Stats og tweaks'!$D$35,0)*'Stats og tweaks'!$D$35</f>
        <v>47.5</v>
      </c>
      <c r="H73" s="4"/>
      <c r="I73" s="5"/>
      <c r="J73" s="5"/>
      <c r="K73" s="5"/>
      <c r="L73" s="5"/>
      <c r="M73" s="5"/>
      <c r="N73" s="7"/>
      <c r="O73" s="4" t="s">
        <v>85</v>
      </c>
      <c r="P73" s="5" t="str">
        <f>'Stats og tweaks'!C$11</f>
        <v>Dips m. Vægt</v>
      </c>
      <c r="Q73" s="5">
        <v>10</v>
      </c>
      <c r="R73" s="5" t="s">
        <v>72</v>
      </c>
      <c r="S73" s="5">
        <v>5</v>
      </c>
      <c r="T73" s="5" t="s">
        <v>61</v>
      </c>
      <c r="U73" s="6">
        <f>IF((ROUND(((('Stats og tweaks'!$D$33)/100*(Sheet2!U8+'Stats og tweaks'!$C$7))-'Stats og tweaks'!$C$7)/'Stats og tweaks'!$D$35,0)*'Stats og tweaks'!$D$35)&lt;0, "kropsvægt", (ROUND(((('Stats og tweaks'!$D$33)/100*(Sheet2!U8+'Stats og tweaks'!$C$7))-'Stats og tweaks'!$C$7)/'Stats og tweaks'!$D$35,0)*'Stats og tweaks'!$D$35))</f>
        <v>10</v>
      </c>
    </row>
    <row r="74" spans="1:21" x14ac:dyDescent="0.2">
      <c r="A74" s="4" t="s">
        <v>86</v>
      </c>
      <c r="B74" s="14" t="str">
        <f>B36</f>
        <v>Hammerl curl</v>
      </c>
      <c r="C74" s="5">
        <v>10</v>
      </c>
      <c r="D74" s="5" t="s">
        <v>72</v>
      </c>
      <c r="E74" s="5">
        <v>5</v>
      </c>
      <c r="F74" s="5" t="s">
        <v>61</v>
      </c>
      <c r="G74" s="14">
        <f t="shared" ref="G74" si="10">G36</f>
        <v>0</v>
      </c>
      <c r="H74" s="4"/>
      <c r="I74" s="5"/>
      <c r="J74" s="5"/>
      <c r="K74" s="5"/>
      <c r="L74" s="5"/>
      <c r="M74" s="5"/>
      <c r="N74" s="7"/>
      <c r="O74" s="4" t="s">
        <v>86</v>
      </c>
      <c r="P74" s="14" t="str">
        <f>P36</f>
        <v>Læg</v>
      </c>
      <c r="Q74" s="14">
        <f t="shared" ref="Q74:U74" si="11">Q36</f>
        <v>10</v>
      </c>
      <c r="R74" s="14" t="str">
        <f t="shared" si="11"/>
        <v>x</v>
      </c>
      <c r="S74" s="14">
        <f t="shared" si="11"/>
        <v>5</v>
      </c>
      <c r="T74" s="14" t="str">
        <f t="shared" si="11"/>
        <v>@</v>
      </c>
      <c r="U74" s="22">
        <f t="shared" si="11"/>
        <v>0</v>
      </c>
    </row>
    <row r="75" spans="1:21" x14ac:dyDescent="0.2">
      <c r="A75" s="4" t="s">
        <v>88</v>
      </c>
      <c r="B75" s="14" t="str">
        <f>B37</f>
        <v>Rope triceps extensions</v>
      </c>
      <c r="C75" s="5">
        <v>10</v>
      </c>
      <c r="D75" s="5" t="s">
        <v>72</v>
      </c>
      <c r="E75" s="5">
        <v>5</v>
      </c>
      <c r="F75" s="5" t="s">
        <v>61</v>
      </c>
      <c r="G75" s="14">
        <f t="shared" ref="G75" si="12">G37</f>
        <v>0</v>
      </c>
      <c r="H75" s="4"/>
      <c r="I75" s="5"/>
      <c r="J75" s="5"/>
      <c r="K75" s="5"/>
      <c r="L75" s="5"/>
      <c r="M75" s="5"/>
      <c r="N75" s="7"/>
      <c r="O75" s="4" t="s">
        <v>88</v>
      </c>
      <c r="P75" s="14" t="str">
        <f t="shared" ref="P75:U75" si="13">P37</f>
        <v>Ext. Rotation</v>
      </c>
      <c r="Q75" s="14">
        <f t="shared" si="13"/>
        <v>10</v>
      </c>
      <c r="R75" s="14" t="str">
        <f t="shared" si="13"/>
        <v>x</v>
      </c>
      <c r="S75" s="14">
        <f t="shared" si="13"/>
        <v>5</v>
      </c>
      <c r="T75" s="14" t="str">
        <f t="shared" si="13"/>
        <v>@</v>
      </c>
      <c r="U75" s="22">
        <f t="shared" si="13"/>
        <v>0</v>
      </c>
    </row>
    <row r="76" spans="1:21" ht="13.5" thickBot="1" x14ac:dyDescent="0.25">
      <c r="A76" s="8"/>
      <c r="B76" s="9"/>
      <c r="C76" s="9"/>
      <c r="D76" s="9"/>
      <c r="E76" s="9"/>
      <c r="F76" s="9"/>
      <c r="G76" s="10"/>
      <c r="H76" s="8"/>
      <c r="I76" s="9"/>
      <c r="J76" s="9"/>
      <c r="K76" s="9"/>
      <c r="L76" s="9"/>
      <c r="M76" s="9"/>
      <c r="N76" s="10"/>
      <c r="O76" s="8"/>
      <c r="P76" s="9"/>
      <c r="Q76" s="9"/>
      <c r="R76" s="9"/>
      <c r="S76" s="9"/>
      <c r="T76" s="9"/>
      <c r="U76" s="10"/>
    </row>
    <row r="78" spans="1:21" ht="25.5" thickBot="1" x14ac:dyDescent="0.35">
      <c r="A78" s="25" t="s">
        <v>43</v>
      </c>
    </row>
    <row r="79" spans="1:21" ht="13.5" thickBot="1" x14ac:dyDescent="0.25">
      <c r="A79" s="11" t="s">
        <v>63</v>
      </c>
      <c r="B79" s="12"/>
      <c r="C79" s="12"/>
      <c r="D79" s="12"/>
      <c r="E79" s="12"/>
      <c r="F79" s="12"/>
      <c r="G79" s="13"/>
      <c r="H79" s="11" t="s">
        <v>83</v>
      </c>
      <c r="I79" s="12"/>
      <c r="J79" s="12"/>
      <c r="K79" s="12"/>
      <c r="L79" s="12"/>
      <c r="M79" s="12"/>
      <c r="N79" s="13"/>
      <c r="O79" s="11" t="s">
        <v>89</v>
      </c>
      <c r="P79" s="12"/>
      <c r="Q79" s="12"/>
      <c r="R79" s="12"/>
      <c r="S79" s="12"/>
      <c r="T79" s="12"/>
      <c r="U79" s="13"/>
    </row>
    <row r="80" spans="1:21" x14ac:dyDescent="0.2">
      <c r="A80" s="4" t="s">
        <v>65</v>
      </c>
      <c r="B80" s="5" t="str">
        <f>'Stats og tweaks'!A$11</f>
        <v>Military press</v>
      </c>
      <c r="C80" s="5">
        <v>1</v>
      </c>
      <c r="D80" s="5" t="s">
        <v>72</v>
      </c>
      <c r="E80" s="5">
        <v>5</v>
      </c>
      <c r="F80" s="5" t="s">
        <v>60</v>
      </c>
      <c r="G80" s="6">
        <f>ROUND((0.6*(100+'Stats og tweaks'!$D$34)/100*Sheet2!G46)/'Stats og tweaks'!$D$35,0)*'Stats og tweaks'!$D$35</f>
        <v>37.5</v>
      </c>
      <c r="H80" s="4" t="s">
        <v>84</v>
      </c>
      <c r="I80" s="5" t="str">
        <f>'Stats og tweaks'!B$13</f>
        <v>Dødløft</v>
      </c>
      <c r="J80" s="5">
        <v>1</v>
      </c>
      <c r="K80" s="5" t="s">
        <v>72</v>
      </c>
      <c r="L80" s="5">
        <v>5</v>
      </c>
      <c r="M80" s="5" t="s">
        <v>60</v>
      </c>
      <c r="N80" s="6">
        <f>ROUND((0.6*(100+'Stats og tweaks'!$D$34)/100*Sheet2!N46)/'Stats og tweaks'!$D$35,0)*'Stats og tweaks'!$D$35</f>
        <v>97.5</v>
      </c>
      <c r="O80" s="4" t="s">
        <v>65</v>
      </c>
      <c r="P80" s="5" t="str">
        <f>'Stats og tweaks'!C$11</f>
        <v>Dips m. Vægt</v>
      </c>
      <c r="Q80" s="5">
        <v>1</v>
      </c>
      <c r="R80" s="5" t="s">
        <v>72</v>
      </c>
      <c r="S80" s="5">
        <v>5</v>
      </c>
      <c r="T80" s="5" t="s">
        <v>60</v>
      </c>
      <c r="U80" s="6" t="str">
        <f>IF(ROUND(((0.6*(100+'Stats og tweaks'!$D$34)/100*(Sheet2!U46+'Stats og tweaks'!$C$7))-'Stats og tweaks'!$C$7)/'Stats og tweaks'!$D$35,0)*'Stats og tweaks'!$D$35&lt;0, "kropsvægt", ROUND(((0.6*(100+'Stats og tweaks'!$D$34)/100*(Sheet2!U46+'Stats og tweaks'!$C$7))-'Stats og tweaks'!$C$7)/'Stats og tweaks'!$D$35,0)*'Stats og tweaks'!$D$35)</f>
        <v>kropsvægt</v>
      </c>
    </row>
    <row r="81" spans="1:21" x14ac:dyDescent="0.2">
      <c r="A81" s="4"/>
      <c r="B81" s="16" t="str">
        <f>'Stats og tweaks'!A$11</f>
        <v>Military press</v>
      </c>
      <c r="C81" s="5">
        <v>1</v>
      </c>
      <c r="D81" s="5" t="s">
        <v>72</v>
      </c>
      <c r="E81" s="5">
        <v>5</v>
      </c>
      <c r="F81" s="5" t="s">
        <v>60</v>
      </c>
      <c r="G81" s="6">
        <f>ROUND((0.7*(100+'Stats og tweaks'!$D$34)/100*Sheet2!G46)/'Stats og tweaks'!$D$35,0)*'Stats og tweaks'!$D$35</f>
        <v>42.5</v>
      </c>
      <c r="H81" s="4"/>
      <c r="I81" s="16" t="str">
        <f>'Stats og tweaks'!B$13</f>
        <v>Dødløft</v>
      </c>
      <c r="J81" s="5">
        <v>1</v>
      </c>
      <c r="K81" s="5" t="s">
        <v>72</v>
      </c>
      <c r="L81" s="5">
        <v>5</v>
      </c>
      <c r="M81" s="5" t="s">
        <v>60</v>
      </c>
      <c r="N81" s="6">
        <f>ROUND((0.7*(100+'Stats og tweaks'!$D$34)/100*Sheet2!N46)/'Stats og tweaks'!$D$35,0)*'Stats og tweaks'!$D$35</f>
        <v>115</v>
      </c>
      <c r="O81" s="4"/>
      <c r="P81" s="16" t="str">
        <f>'Stats og tweaks'!C$11</f>
        <v>Dips m. Vægt</v>
      </c>
      <c r="Q81" s="5">
        <v>1</v>
      </c>
      <c r="R81" s="5" t="s">
        <v>72</v>
      </c>
      <c r="S81" s="5">
        <v>5</v>
      </c>
      <c r="T81" s="5" t="s">
        <v>60</v>
      </c>
      <c r="U81" s="6">
        <f>IF(ROUND(((0.7*(100+'Stats og tweaks'!$D$34)/100*(Sheet2!U46+'Stats og tweaks'!$C$7))-'Stats og tweaks'!$C$7)/'Stats og tweaks'!$D$35,0)*'Stats og tweaks'!$D$35&lt;0, "kropsvægt", ROUND(((0.7*(100+'Stats og tweaks'!$D$34)/100*(Sheet2!U46+'Stats og tweaks'!$C$7))-'Stats og tweaks'!$C$7)/'Stats og tweaks'!$D$35,0)*'Stats og tweaks'!$D$35)</f>
        <v>2.5</v>
      </c>
    </row>
    <row r="82" spans="1:21" x14ac:dyDescent="0.2">
      <c r="A82" s="4"/>
      <c r="B82" s="16" t="str">
        <f>'Stats og tweaks'!A$11</f>
        <v>Military press</v>
      </c>
      <c r="C82" s="5">
        <v>1</v>
      </c>
      <c r="D82" s="5" t="s">
        <v>72</v>
      </c>
      <c r="E82" s="5">
        <v>5</v>
      </c>
      <c r="F82" s="5" t="s">
        <v>60</v>
      </c>
      <c r="G82" s="6">
        <f>ROUND((0.8*(100+'Stats og tweaks'!$D$34)/100*Sheet2!G46)/'Stats og tweaks'!$D$35,0)*'Stats og tweaks'!$D$35</f>
        <v>50</v>
      </c>
      <c r="H82" s="4"/>
      <c r="I82" s="16" t="str">
        <f>'Stats og tweaks'!B$13</f>
        <v>Dødløft</v>
      </c>
      <c r="J82" s="5">
        <v>1</v>
      </c>
      <c r="K82" s="5" t="s">
        <v>72</v>
      </c>
      <c r="L82" s="5">
        <v>5</v>
      </c>
      <c r="M82" s="5" t="s">
        <v>60</v>
      </c>
      <c r="N82" s="6">
        <f>ROUND((0.8*(100+'Stats og tweaks'!$D$34)/100*Sheet2!N46)/'Stats og tweaks'!$D$35,0)*'Stats og tweaks'!$D$35</f>
        <v>130</v>
      </c>
      <c r="O82" s="4"/>
      <c r="P82" s="16" t="str">
        <f>'Stats og tweaks'!C$11</f>
        <v>Dips m. Vægt</v>
      </c>
      <c r="Q82" s="5">
        <v>1</v>
      </c>
      <c r="R82" s="5" t="s">
        <v>72</v>
      </c>
      <c r="S82" s="5">
        <v>5</v>
      </c>
      <c r="T82" s="5" t="s">
        <v>60</v>
      </c>
      <c r="U82" s="6">
        <f>IF(ROUND(((0.8*(100+'Stats og tweaks'!$D$34)/100*(Sheet2!U46+'Stats og tweaks'!$C$7))-'Stats og tweaks'!$C$7)/'Stats og tweaks'!$D$35,0)*'Stats og tweaks'!$D$35&lt;0, "kropsvægt", ROUND(((0.8*(100+'Stats og tweaks'!$D$34)/100*(Sheet2!U46+'Stats og tweaks'!$C$7))-'Stats og tweaks'!$C$7)/'Stats og tweaks'!$D$35,0)*'Stats og tweaks'!$D$35)</f>
        <v>17.5</v>
      </c>
    </row>
    <row r="83" spans="1:21" x14ac:dyDescent="0.2">
      <c r="A83" s="4"/>
      <c r="B83" s="16" t="str">
        <f>'Stats og tweaks'!A$11</f>
        <v>Military press</v>
      </c>
      <c r="C83" s="5">
        <v>1</v>
      </c>
      <c r="D83" s="5" t="s">
        <v>72</v>
      </c>
      <c r="E83" s="5">
        <v>5</v>
      </c>
      <c r="F83" s="5" t="s">
        <v>60</v>
      </c>
      <c r="G83" s="6">
        <f>ROUND((0.9*(100+'Stats og tweaks'!$D$34)/100*Sheet2!G46)/'Stats og tweaks'!$D$35,0)*'Stats og tweaks'!$D$35</f>
        <v>55</v>
      </c>
      <c r="H83" s="4"/>
      <c r="I83" s="16" t="str">
        <f>'Stats og tweaks'!B$13</f>
        <v>Dødløft</v>
      </c>
      <c r="J83" s="5">
        <v>1</v>
      </c>
      <c r="K83" s="5" t="s">
        <v>72</v>
      </c>
      <c r="L83" s="5">
        <v>5</v>
      </c>
      <c r="M83" s="5" t="s">
        <v>60</v>
      </c>
      <c r="N83" s="6">
        <f>ROUND((0.9*(100+'Stats og tweaks'!$D$34)/100*Sheet2!N46)/'Stats og tweaks'!$D$35,0)*'Stats og tweaks'!$D$35</f>
        <v>147.5</v>
      </c>
      <c r="O83" s="4"/>
      <c r="P83" s="16" t="str">
        <f>'Stats og tweaks'!C$11</f>
        <v>Dips m. Vægt</v>
      </c>
      <c r="Q83" s="5">
        <v>1</v>
      </c>
      <c r="R83" s="5" t="s">
        <v>72</v>
      </c>
      <c r="S83" s="5">
        <v>5</v>
      </c>
      <c r="T83" s="5" t="s">
        <v>60</v>
      </c>
      <c r="U83" s="6">
        <f>IF(ROUND(((0.9*(100+'Stats og tweaks'!$D$34)/100*(Sheet2!U46+'Stats og tweaks'!$C$7))-'Stats og tweaks'!$C$7)/'Stats og tweaks'!$D$35,0)*'Stats og tweaks'!$D$35&lt;0, "kropsvægt", ROUND(((0.9*(100+'Stats og tweaks'!$D$34)/100*(Sheet2!U46+'Stats og tweaks'!$C$7))-'Stats og tweaks'!$C$7)/'Stats og tweaks'!$D$35,0)*'Stats og tweaks'!$D$35)</f>
        <v>30</v>
      </c>
    </row>
    <row r="84" spans="1:21" x14ac:dyDescent="0.2">
      <c r="A84" s="4"/>
      <c r="B84" s="16" t="str">
        <f>'Stats og tweaks'!A$11</f>
        <v>Military press</v>
      </c>
      <c r="C84" s="5">
        <v>1</v>
      </c>
      <c r="D84" s="5" t="s">
        <v>72</v>
      </c>
      <c r="E84" s="5">
        <v>5</v>
      </c>
      <c r="F84" s="5" t="s">
        <v>60</v>
      </c>
      <c r="G84" s="6">
        <f>ROUND((1*(100+'Stats og tweaks'!$D$34)/100*Sheet2!G46)/'Stats og tweaks'!$D$35,0)*'Stats og tweaks'!$D$35</f>
        <v>62.5</v>
      </c>
      <c r="H84" s="4"/>
      <c r="I84" s="16" t="str">
        <f>'Stats og tweaks'!B$13</f>
        <v>Dødløft</v>
      </c>
      <c r="J84" s="5">
        <v>1</v>
      </c>
      <c r="K84" s="5" t="s">
        <v>72</v>
      </c>
      <c r="L84" s="5">
        <v>5</v>
      </c>
      <c r="M84" s="5" t="s">
        <v>60</v>
      </c>
      <c r="N84" s="6">
        <f>ROUND((1*(100+'Stats og tweaks'!$D$34)/100*Sheet2!N46)/'Stats og tweaks'!$D$35,0)*'Stats og tweaks'!$D$35</f>
        <v>162.5</v>
      </c>
      <c r="O84" s="4"/>
      <c r="P84" s="16" t="str">
        <f>'Stats og tweaks'!C$11</f>
        <v>Dips m. Vægt</v>
      </c>
      <c r="Q84" s="5">
        <v>1</v>
      </c>
      <c r="R84" s="5" t="s">
        <v>72</v>
      </c>
      <c r="S84" s="5">
        <v>5</v>
      </c>
      <c r="T84" s="5" t="s">
        <v>60</v>
      </c>
      <c r="U84" s="6">
        <f>IF(ROUND(((1*(100+'Stats og tweaks'!$D$34)/100*(Sheet2!U46+'Stats og tweaks'!$C$7))-'Stats og tweaks'!$C$7)/'Stats og tweaks'!$D$35,0)*'Stats og tweaks'!$D$35&lt;0, "kropsvægt", ROUND(((1*(100+'Stats og tweaks'!$D$34)/100*(Sheet2!U46+'Stats og tweaks'!$C$7))-'Stats og tweaks'!$C$7)/'Stats og tweaks'!$D$35,0)*'Stats og tweaks'!$D$35)</f>
        <v>45</v>
      </c>
    </row>
    <row r="85" spans="1:21" x14ac:dyDescent="0.2">
      <c r="A85" s="4"/>
      <c r="B85" s="16" t="str">
        <f>'Stats og tweaks'!A$11</f>
        <v>Military press</v>
      </c>
      <c r="C85" s="5">
        <v>5</v>
      </c>
      <c r="D85" s="5" t="s">
        <v>72</v>
      </c>
      <c r="E85" s="5">
        <v>5</v>
      </c>
      <c r="F85" s="5" t="s">
        <v>60</v>
      </c>
      <c r="G85" s="6">
        <f>ROUND((('Stats og tweaks'!$D$33)/100*(100+'Stats og tweaks'!$D$34)/100*Sheet2!G46)/'Stats og tweaks'!$D$35,0)*'Stats og tweaks'!$D$35</f>
        <v>50</v>
      </c>
      <c r="H85" s="4"/>
      <c r="I85" s="16" t="str">
        <f>'Stats og tweaks'!B$13</f>
        <v>Dødløft</v>
      </c>
      <c r="J85" s="5">
        <v>5</v>
      </c>
      <c r="K85" s="5" t="s">
        <v>72</v>
      </c>
      <c r="L85" s="5">
        <v>5</v>
      </c>
      <c r="M85" s="5" t="s">
        <v>60</v>
      </c>
      <c r="N85" s="6">
        <f>ROUND((('Stats og tweaks'!$D$33)/100*(100+'Stats og tweaks'!$D$34)/100*Sheet2!N46)/'Stats og tweaks'!$D$35,0)*'Stats og tweaks'!$D$35</f>
        <v>130</v>
      </c>
      <c r="O85" s="4"/>
      <c r="P85" s="16" t="str">
        <f>'Stats og tweaks'!C$11</f>
        <v>Dips m. Vægt</v>
      </c>
      <c r="Q85" s="5">
        <v>5</v>
      </c>
      <c r="R85" s="5" t="s">
        <v>72</v>
      </c>
      <c r="S85" s="5">
        <v>5</v>
      </c>
      <c r="T85" s="5" t="s">
        <v>60</v>
      </c>
      <c r="U85" s="6">
        <f>IF(ROUND(((('Stats og tweaks'!$D$33)/100*(100+'Stats og tweaks'!$D$34)/100*(Sheet2!U46+'Stats og tweaks'!$C$7))-'Stats og tweaks'!$C$7)/'Stats og tweaks'!$D$35,0)*'Stats og tweaks'!$D$35&lt;0, "kropsvægt", ROUND(((('Stats og tweaks'!$D$33)/100*(100+'Stats og tweaks'!$D$34)/100*(Sheet2!U46+'Stats og tweaks'!$C$7))-'Stats og tweaks'!$C$7)/'Stats og tweaks'!$D$35,0)*'Stats og tweaks'!$D$35)</f>
        <v>17.5</v>
      </c>
    </row>
    <row r="86" spans="1:21" x14ac:dyDescent="0.2">
      <c r="A86" s="4" t="s">
        <v>66</v>
      </c>
      <c r="B86" s="5" t="str">
        <f>'Stats og tweaks'!A$12</f>
        <v>Kropshævninger m. Vægt</v>
      </c>
      <c r="C86" s="5">
        <v>10</v>
      </c>
      <c r="D86" s="5" t="s">
        <v>72</v>
      </c>
      <c r="E86" s="5">
        <v>5</v>
      </c>
      <c r="F86" s="5" t="s">
        <v>60</v>
      </c>
      <c r="G86" s="6">
        <f>IF((ROUND(((('Stats og tweaks'!$D$33)/100*(Sheet2!G71+'Stats og tweaks'!$C$7))-'Stats og tweaks'!$C$7)/'Stats og tweaks'!$D$35,0)*'Stats og tweaks'!$D$35)&lt;0, "kropsvægt", (ROUND(((('Stats og tweaks'!$D$33)/100*(Sheet2!G71+'Stats og tweaks'!$C$7))-'Stats og tweaks'!$C$7)/'Stats og tweaks'!$D$35,0)*'Stats og tweaks'!D68))</f>
        <v>0</v>
      </c>
      <c r="H86" s="4" t="s">
        <v>67</v>
      </c>
      <c r="I86" s="5" t="str">
        <f>'Stats og tweaks'!B$12</f>
        <v>Chest-supported rows</v>
      </c>
      <c r="J86" s="5">
        <v>1</v>
      </c>
      <c r="K86" s="5" t="s">
        <v>72</v>
      </c>
      <c r="L86" s="5">
        <v>5</v>
      </c>
      <c r="M86" s="5" t="s">
        <v>60</v>
      </c>
      <c r="N86" s="6">
        <f>ROUND((0.6*(100+'Stats og tweaks'!$D$34)/100*Sheet2!N52)/'Stats og tweaks'!$D$35,0)*'Stats og tweaks'!$D$35</f>
        <v>50</v>
      </c>
      <c r="O86" s="4" t="s">
        <v>66</v>
      </c>
      <c r="P86" s="5" t="str">
        <f>'Stats og tweaks'!C$12</f>
        <v>Frivend</v>
      </c>
      <c r="Q86" s="5">
        <v>10</v>
      </c>
      <c r="R86" s="5" t="s">
        <v>74</v>
      </c>
      <c r="S86" s="5">
        <v>5</v>
      </c>
      <c r="T86" s="5" t="s">
        <v>60</v>
      </c>
      <c r="U86" s="6">
        <f>ROUND((('Stats og tweaks'!$D$33)/100*U109)/'Stats og tweaks'!$D$35,0)*'Stats og tweaks'!$D$35</f>
        <v>80</v>
      </c>
    </row>
    <row r="87" spans="1:21" x14ac:dyDescent="0.2">
      <c r="A87" s="4" t="s">
        <v>67</v>
      </c>
      <c r="B87" s="5" t="str">
        <f>'Stats og tweaks'!A$13</f>
        <v>Front squat</v>
      </c>
      <c r="C87" s="5">
        <v>10</v>
      </c>
      <c r="D87" s="5" t="s">
        <v>72</v>
      </c>
      <c r="E87" s="5">
        <v>5</v>
      </c>
      <c r="F87" s="5" t="s">
        <v>60</v>
      </c>
      <c r="G87" s="6">
        <f>ROUND((('Stats og tweaks'!$D$33)/100*G65)/'Stats og tweaks'!$D$35,0)*'Stats og tweaks'!$D$35</f>
        <v>85</v>
      </c>
      <c r="H87" s="4"/>
      <c r="I87" s="16" t="str">
        <f>'Stats og tweaks'!B$12</f>
        <v>Chest-supported rows</v>
      </c>
      <c r="J87" s="5">
        <v>1</v>
      </c>
      <c r="K87" s="5" t="s">
        <v>72</v>
      </c>
      <c r="L87" s="5">
        <v>5</v>
      </c>
      <c r="M87" s="5" t="s">
        <v>60</v>
      </c>
      <c r="N87" s="6">
        <f>ROUND((0.7*(100+'Stats og tweaks'!$D$34)/100*Sheet2!N52)/'Stats og tweaks'!$D$35,0)*'Stats og tweaks'!$D$35</f>
        <v>57.5</v>
      </c>
      <c r="O87" s="4" t="s">
        <v>67</v>
      </c>
      <c r="P87" s="5" t="str">
        <f>'Stats og tweaks'!C$13</f>
        <v>Back squat</v>
      </c>
      <c r="Q87" s="5">
        <v>10</v>
      </c>
      <c r="R87" s="5" t="s">
        <v>72</v>
      </c>
      <c r="S87" s="5">
        <v>5</v>
      </c>
      <c r="T87" s="5" t="s">
        <v>60</v>
      </c>
      <c r="U87" s="6">
        <f>ROUND((('Stats og tweaks'!$D$33)/100*Sheet2!U65)/'Stats og tweaks'!$D$35,0)*'Stats og tweaks'!$D$35</f>
        <v>102.5</v>
      </c>
    </row>
    <row r="88" spans="1:21" x14ac:dyDescent="0.2">
      <c r="A88" s="4" t="s">
        <v>28</v>
      </c>
      <c r="B88" s="14" t="str">
        <f>B50</f>
        <v>hanging leg raises</v>
      </c>
      <c r="C88" s="14">
        <f t="shared" ref="C88:F88" si="14">C50</f>
        <v>5</v>
      </c>
      <c r="D88" s="14" t="str">
        <f t="shared" si="14"/>
        <v>x</v>
      </c>
      <c r="E88" s="14" t="str">
        <f t="shared" si="14"/>
        <v>5-10</v>
      </c>
      <c r="F88" s="14" t="str">
        <f t="shared" si="14"/>
        <v>@</v>
      </c>
      <c r="G88" s="7">
        <f>G50</f>
        <v>0</v>
      </c>
      <c r="H88" s="4"/>
      <c r="I88" s="16" t="str">
        <f>'Stats og tweaks'!B$12</f>
        <v>Chest-supported rows</v>
      </c>
      <c r="J88" s="5">
        <v>1</v>
      </c>
      <c r="K88" s="5" t="s">
        <v>72</v>
      </c>
      <c r="L88" s="5">
        <v>5</v>
      </c>
      <c r="M88" s="5" t="s">
        <v>60</v>
      </c>
      <c r="N88" s="6">
        <f>ROUND((0.8*(100+'Stats og tweaks'!$D$34)/100*Sheet2!N52)/'Stats og tweaks'!$D$35,0)*'Stats og tweaks'!$D$35</f>
        <v>65</v>
      </c>
      <c r="O88" s="4" t="s">
        <v>28</v>
      </c>
      <c r="P88" s="14" t="str">
        <f t="shared" ref="P88:U88" si="15">P50</f>
        <v>Cabelcrunches</v>
      </c>
      <c r="Q88" s="14">
        <f t="shared" si="15"/>
        <v>5</v>
      </c>
      <c r="R88" s="14" t="str">
        <f t="shared" si="15"/>
        <v>x</v>
      </c>
      <c r="S88" s="14">
        <f t="shared" si="15"/>
        <v>5</v>
      </c>
      <c r="T88" s="14" t="str">
        <f t="shared" si="15"/>
        <v>@</v>
      </c>
      <c r="U88" s="22">
        <f t="shared" si="15"/>
        <v>0</v>
      </c>
    </row>
    <row r="89" spans="1:21" x14ac:dyDescent="0.2">
      <c r="A89" s="4" t="s">
        <v>29</v>
      </c>
      <c r="B89" s="14" t="str">
        <f t="shared" ref="B89:G89" si="16">B51</f>
        <v>Rumænsk dødløft</v>
      </c>
      <c r="C89" s="14">
        <f t="shared" si="16"/>
        <v>5</v>
      </c>
      <c r="D89" s="14" t="str">
        <f t="shared" si="16"/>
        <v>x</v>
      </c>
      <c r="E89" s="14" t="str">
        <f t="shared" si="16"/>
        <v>6-8</v>
      </c>
      <c r="F89" s="14" t="str">
        <f t="shared" si="16"/>
        <v>@</v>
      </c>
      <c r="G89" s="7">
        <f t="shared" si="16"/>
        <v>0</v>
      </c>
      <c r="H89" s="4"/>
      <c r="I89" s="16" t="str">
        <f>'Stats og tweaks'!B$12</f>
        <v>Chest-supported rows</v>
      </c>
      <c r="J89" s="5">
        <v>1</v>
      </c>
      <c r="K89" s="5" t="s">
        <v>72</v>
      </c>
      <c r="L89" s="5">
        <v>5</v>
      </c>
      <c r="M89" s="5" t="s">
        <v>60</v>
      </c>
      <c r="N89" s="6">
        <f>ROUND((0.9*(100+'Stats og tweaks'!$D$34)/100*Sheet2!N52)/'Stats og tweaks'!$D$35,0)*'Stats og tweaks'!$D$35</f>
        <v>75</v>
      </c>
      <c r="O89" s="4" t="s">
        <v>29</v>
      </c>
      <c r="P89" s="14" t="str">
        <f t="shared" ref="P89:U89" si="17">P51</f>
        <v>leg curl</v>
      </c>
      <c r="Q89" s="14">
        <f t="shared" si="17"/>
        <v>5</v>
      </c>
      <c r="R89" s="14" t="str">
        <f t="shared" si="17"/>
        <v>x</v>
      </c>
      <c r="S89" s="14" t="str">
        <f t="shared" si="17"/>
        <v>6-8</v>
      </c>
      <c r="T89" s="14" t="str">
        <f t="shared" si="17"/>
        <v>@</v>
      </c>
      <c r="U89" s="22">
        <f t="shared" si="17"/>
        <v>0</v>
      </c>
    </row>
    <row r="90" spans="1:21" x14ac:dyDescent="0.2">
      <c r="A90" s="4"/>
      <c r="B90" s="14"/>
      <c r="C90" s="14"/>
      <c r="D90" s="14"/>
      <c r="E90" s="14"/>
      <c r="F90" s="14"/>
      <c r="G90" s="7"/>
      <c r="H90" s="4"/>
      <c r="I90" s="16" t="str">
        <f>'Stats og tweaks'!B$12</f>
        <v>Chest-supported rows</v>
      </c>
      <c r="J90" s="5">
        <v>1</v>
      </c>
      <c r="K90" s="5" t="s">
        <v>72</v>
      </c>
      <c r="L90" s="5">
        <v>5</v>
      </c>
      <c r="M90" s="5" t="s">
        <v>60</v>
      </c>
      <c r="N90" s="6">
        <f>ROUND((1*(100+'Stats og tweaks'!$D$34)/100*Sheet2!N52)/'Stats og tweaks'!$D$35,0)*'Stats og tweaks'!$D$35</f>
        <v>82.5</v>
      </c>
      <c r="O90" s="4"/>
      <c r="P90" s="14"/>
      <c r="Q90" s="14"/>
      <c r="R90" s="14"/>
      <c r="S90" s="14"/>
      <c r="T90" s="14"/>
      <c r="U90" s="22"/>
    </row>
    <row r="91" spans="1:21" x14ac:dyDescent="0.2">
      <c r="A91" s="4"/>
      <c r="B91" s="14"/>
      <c r="C91" s="14"/>
      <c r="D91" s="14"/>
      <c r="E91" s="14"/>
      <c r="F91" s="14"/>
      <c r="G91" s="7"/>
      <c r="H91" s="4"/>
      <c r="I91" s="16" t="str">
        <f>'Stats og tweaks'!B$12</f>
        <v>Chest-supported rows</v>
      </c>
      <c r="J91" s="5">
        <v>5</v>
      </c>
      <c r="K91" s="5" t="s">
        <v>72</v>
      </c>
      <c r="L91" s="5">
        <v>5</v>
      </c>
      <c r="M91" s="5" t="s">
        <v>60</v>
      </c>
      <c r="N91" s="6">
        <f>ROUND((('Stats og tweaks'!$D$33)/100*(100+'Stats og tweaks'!$D$34)/100*Sheet2!N52)/'Stats og tweaks'!$D$35,0)*'Stats og tweaks'!$D$35</f>
        <v>65</v>
      </c>
      <c r="O91" s="4"/>
      <c r="P91" s="14"/>
      <c r="Q91" s="14"/>
      <c r="R91" s="14"/>
      <c r="S91" s="14"/>
      <c r="T91" s="14"/>
      <c r="U91" s="22"/>
    </row>
    <row r="92" spans="1:21" x14ac:dyDescent="0.2">
      <c r="A92" s="4"/>
      <c r="B92" s="5"/>
      <c r="C92" s="5"/>
      <c r="D92" s="5"/>
      <c r="E92" s="5"/>
      <c r="F92" s="5"/>
      <c r="G92" s="7"/>
      <c r="H92" s="4" t="s">
        <v>85</v>
      </c>
      <c r="I92" s="5" t="str">
        <f>'Stats og tweaks'!B$11</f>
        <v>Bænkpres</v>
      </c>
      <c r="J92" s="5">
        <v>10</v>
      </c>
      <c r="K92" s="5" t="s">
        <v>74</v>
      </c>
      <c r="L92" s="5">
        <v>5</v>
      </c>
      <c r="M92" s="5" t="s">
        <v>60</v>
      </c>
      <c r="N92" s="6">
        <f>ROUND((('Stats og tweaks'!$D$33)/100*Sheet2!N65)/'Stats og tweaks'!$D$35,0)*'Stats og tweaks'!$D$35</f>
        <v>75</v>
      </c>
      <c r="O92" s="4"/>
      <c r="P92" s="5"/>
      <c r="Q92" s="5"/>
      <c r="R92" s="5"/>
      <c r="S92" s="5"/>
      <c r="T92" s="5"/>
      <c r="U92" s="7"/>
    </row>
    <row r="93" spans="1:21" x14ac:dyDescent="0.2">
      <c r="A93" s="4"/>
      <c r="B93" s="5"/>
      <c r="C93" s="5"/>
      <c r="D93" s="5"/>
      <c r="E93" s="5"/>
      <c r="F93" s="5"/>
      <c r="G93" s="7"/>
      <c r="H93" s="4"/>
      <c r="I93" s="14"/>
      <c r="J93" s="14"/>
      <c r="K93" s="14"/>
      <c r="L93" s="14"/>
      <c r="M93" s="14"/>
      <c r="N93" s="7"/>
      <c r="O93" s="4"/>
      <c r="P93" s="5"/>
      <c r="Q93" s="5"/>
      <c r="R93" s="5"/>
      <c r="S93" s="5"/>
      <c r="T93" s="5"/>
      <c r="U93" s="7"/>
    </row>
    <row r="94" spans="1:21" x14ac:dyDescent="0.2">
      <c r="A94" s="4"/>
      <c r="B94" s="5"/>
      <c r="C94" s="5"/>
      <c r="D94" s="5"/>
      <c r="E94" s="5"/>
      <c r="F94" s="5"/>
      <c r="G94" s="7"/>
      <c r="H94" s="4"/>
      <c r="I94" s="14"/>
      <c r="J94" s="14"/>
      <c r="K94" s="14"/>
      <c r="L94" s="14"/>
      <c r="M94" s="14"/>
      <c r="N94" s="7"/>
      <c r="O94" s="4"/>
      <c r="P94" s="5"/>
      <c r="Q94" s="5"/>
      <c r="R94" s="5"/>
      <c r="S94" s="5"/>
      <c r="T94" s="5"/>
      <c r="U94" s="7"/>
    </row>
    <row r="95" spans="1:21" ht="13.5" thickBot="1" x14ac:dyDescent="0.25">
      <c r="A95" s="8"/>
      <c r="B95" s="9"/>
      <c r="C95" s="9"/>
      <c r="D95" s="9"/>
      <c r="E95" s="9"/>
      <c r="F95" s="9"/>
      <c r="G95" s="10"/>
      <c r="H95" s="8"/>
      <c r="I95" s="9"/>
      <c r="J95" s="9"/>
      <c r="K95" s="9"/>
      <c r="L95" s="9"/>
      <c r="M95" s="9"/>
      <c r="N95" s="10"/>
      <c r="O95" s="8"/>
      <c r="P95" s="9"/>
      <c r="Q95" s="9"/>
      <c r="R95" s="9"/>
      <c r="S95" s="9"/>
      <c r="T95" s="9"/>
      <c r="U95" s="10"/>
    </row>
    <row r="97" spans="1:21" ht="25.5" thickBot="1" x14ac:dyDescent="0.35">
      <c r="A97" s="25" t="s">
        <v>44</v>
      </c>
    </row>
    <row r="98" spans="1:21" ht="13.5" thickBot="1" x14ac:dyDescent="0.25">
      <c r="A98" s="11" t="s">
        <v>95</v>
      </c>
      <c r="B98" s="12"/>
      <c r="C98" s="12"/>
      <c r="D98" s="12"/>
      <c r="E98" s="12"/>
      <c r="F98" s="12"/>
      <c r="G98" s="13"/>
      <c r="H98" s="11" t="s">
        <v>96</v>
      </c>
      <c r="I98" s="12"/>
      <c r="J98" s="12"/>
      <c r="K98" s="12"/>
      <c r="L98" s="12"/>
      <c r="M98" s="12"/>
      <c r="N98" s="13"/>
      <c r="O98" s="11" t="s">
        <v>97</v>
      </c>
      <c r="P98" s="12"/>
      <c r="Q98" s="12"/>
      <c r="R98" s="12"/>
      <c r="S98" s="12"/>
      <c r="T98" s="12"/>
      <c r="U98" s="13"/>
    </row>
    <row r="99" spans="1:21" x14ac:dyDescent="0.2">
      <c r="A99" s="4" t="s">
        <v>84</v>
      </c>
      <c r="B99" s="5" t="str">
        <f>'Stats og tweaks'!A$13</f>
        <v>Front squat</v>
      </c>
      <c r="C99" s="5">
        <v>1</v>
      </c>
      <c r="D99" s="5" t="s">
        <v>72</v>
      </c>
      <c r="E99" s="5">
        <v>5</v>
      </c>
      <c r="F99" s="5" t="s">
        <v>60</v>
      </c>
      <c r="G99" s="6">
        <f>ROUND((0.6*(100+'Stats og tweaks'!$D$34)/100*Sheet2!G65)/'Stats og tweaks'!$D$35,0)*'Stats og tweaks'!$D$35</f>
        <v>65</v>
      </c>
      <c r="H99" s="4" t="s">
        <v>90</v>
      </c>
      <c r="I99" s="5" t="str">
        <f>'Stats og tweaks'!B$11</f>
        <v>Bænkpres</v>
      </c>
      <c r="J99" s="5">
        <v>1</v>
      </c>
      <c r="K99" s="5" t="s">
        <v>72</v>
      </c>
      <c r="L99" s="5">
        <v>5</v>
      </c>
      <c r="M99" s="5" t="s">
        <v>60</v>
      </c>
      <c r="N99" s="6">
        <f>ROUND((0.6*(100+'Stats og tweaks'!$D$34)/100*Sheet2!N65)/'Stats og tweaks'!$D$35,0)*'Stats og tweaks'!$D$35</f>
        <v>57.5</v>
      </c>
      <c r="O99" s="4" t="s">
        <v>84</v>
      </c>
      <c r="P99" s="5" t="str">
        <f>'Stats og tweaks'!C$13</f>
        <v>Back squat</v>
      </c>
      <c r="Q99" s="5">
        <v>1</v>
      </c>
      <c r="R99" s="5" t="s">
        <v>72</v>
      </c>
      <c r="S99" s="5">
        <v>5</v>
      </c>
      <c r="T99" s="5" t="s">
        <v>60</v>
      </c>
      <c r="U99" s="6">
        <f>ROUND((0.6*(100+'Stats og tweaks'!$D$34)/100*Sheet2!U65)/'Stats og tweaks'!$D$35,0)*'Stats og tweaks'!$D$35</f>
        <v>80</v>
      </c>
    </row>
    <row r="100" spans="1:21" x14ac:dyDescent="0.2">
      <c r="A100" s="4"/>
      <c r="B100" s="16" t="str">
        <f>'Stats og tweaks'!A$13</f>
        <v>Front squat</v>
      </c>
      <c r="C100" s="5">
        <v>1</v>
      </c>
      <c r="D100" s="5" t="s">
        <v>72</v>
      </c>
      <c r="E100" s="5">
        <v>5</v>
      </c>
      <c r="F100" s="5" t="s">
        <v>60</v>
      </c>
      <c r="G100" s="6">
        <f>ROUND((0.7*(100+'Stats og tweaks'!$D$34)/100*Sheet2!G65)/'Stats og tweaks'!$D$35,0)*'Stats og tweaks'!$D$35</f>
        <v>75</v>
      </c>
      <c r="H100" s="4"/>
      <c r="I100" s="16" t="str">
        <f>'Stats og tweaks'!B$11</f>
        <v>Bænkpres</v>
      </c>
      <c r="J100" s="5">
        <v>1</v>
      </c>
      <c r="K100" s="5" t="s">
        <v>72</v>
      </c>
      <c r="L100" s="5">
        <v>5</v>
      </c>
      <c r="M100" s="5" t="s">
        <v>60</v>
      </c>
      <c r="N100" s="6">
        <f>ROUND((0.7*(100+'Stats og tweaks'!$D$34)/100*Sheet2!N65)/'Stats og tweaks'!$D$35,0)*'Stats og tweaks'!$D$35</f>
        <v>67.5</v>
      </c>
      <c r="O100" s="4"/>
      <c r="P100" s="16" t="str">
        <f>'Stats og tweaks'!C$13</f>
        <v>Back squat</v>
      </c>
      <c r="Q100" s="5">
        <v>1</v>
      </c>
      <c r="R100" s="5" t="s">
        <v>72</v>
      </c>
      <c r="S100" s="5">
        <v>5</v>
      </c>
      <c r="T100" s="5" t="s">
        <v>60</v>
      </c>
      <c r="U100" s="6">
        <f>ROUND((0.7*(100+'Stats og tweaks'!$D$34)/100*Sheet2!U65)/'Stats og tweaks'!$D$35,0)*'Stats og tweaks'!$D$35</f>
        <v>92.5</v>
      </c>
    </row>
    <row r="101" spans="1:21" x14ac:dyDescent="0.2">
      <c r="A101" s="4"/>
      <c r="B101" s="16" t="str">
        <f>'Stats og tweaks'!A$13</f>
        <v>Front squat</v>
      </c>
      <c r="C101" s="5">
        <v>1</v>
      </c>
      <c r="D101" s="5" t="s">
        <v>72</v>
      </c>
      <c r="E101" s="5">
        <v>5</v>
      </c>
      <c r="F101" s="5" t="s">
        <v>60</v>
      </c>
      <c r="G101" s="6">
        <f>ROUND((0.8*(100+'Stats og tweaks'!$D$34)/100*Sheet2!G65)/'Stats og tweaks'!$D$35,0)*'Stats og tweaks'!$D$35</f>
        <v>87.5</v>
      </c>
      <c r="H101" s="4"/>
      <c r="I101" s="16" t="str">
        <f>'Stats og tweaks'!B$11</f>
        <v>Bænkpres</v>
      </c>
      <c r="J101" s="5">
        <v>1</v>
      </c>
      <c r="K101" s="5" t="s">
        <v>72</v>
      </c>
      <c r="L101" s="5">
        <v>5</v>
      </c>
      <c r="M101" s="5" t="s">
        <v>60</v>
      </c>
      <c r="N101" s="6">
        <f>ROUND((0.8*(100+'Stats og tweaks'!$D$34)/100*Sheet2!N65)/'Stats og tweaks'!$D$35,0)*'Stats og tweaks'!$D$35</f>
        <v>77.5</v>
      </c>
      <c r="O101" s="4"/>
      <c r="P101" s="16" t="str">
        <f>'Stats og tweaks'!C$13</f>
        <v>Back squat</v>
      </c>
      <c r="Q101" s="5">
        <v>1</v>
      </c>
      <c r="R101" s="5" t="s">
        <v>72</v>
      </c>
      <c r="S101" s="5">
        <v>5</v>
      </c>
      <c r="T101" s="5" t="s">
        <v>60</v>
      </c>
      <c r="U101" s="6">
        <f>ROUND((0.8*(100+'Stats og tweaks'!$D$34)/100*Sheet2!U65)/'Stats og tweaks'!$D$35,0)*'Stats og tweaks'!$D$35</f>
        <v>105</v>
      </c>
    </row>
    <row r="102" spans="1:21" x14ac:dyDescent="0.2">
      <c r="A102" s="4"/>
      <c r="B102" s="16" t="str">
        <f>'Stats og tweaks'!A$13</f>
        <v>Front squat</v>
      </c>
      <c r="C102" s="5">
        <v>1</v>
      </c>
      <c r="D102" s="5" t="s">
        <v>72</v>
      </c>
      <c r="E102" s="5">
        <v>5</v>
      </c>
      <c r="F102" s="5" t="s">
        <v>60</v>
      </c>
      <c r="G102" s="6">
        <f>ROUND((0.9*(100+'Stats og tweaks'!$D$34)/100*Sheet2!G65)/'Stats og tweaks'!$D$35,0)*'Stats og tweaks'!$D$35</f>
        <v>97.5</v>
      </c>
      <c r="H102" s="4"/>
      <c r="I102" s="16" t="str">
        <f>'Stats og tweaks'!B$11</f>
        <v>Bænkpres</v>
      </c>
      <c r="J102" s="5">
        <v>1</v>
      </c>
      <c r="K102" s="5" t="s">
        <v>72</v>
      </c>
      <c r="L102" s="5">
        <v>5</v>
      </c>
      <c r="M102" s="5" t="s">
        <v>60</v>
      </c>
      <c r="N102" s="6">
        <f>ROUND((0.9*(100+'Stats og tweaks'!$D$34)/100*Sheet2!N65)/'Stats og tweaks'!$D$35,0)*'Stats og tweaks'!$D$35</f>
        <v>85</v>
      </c>
      <c r="O102" s="4"/>
      <c r="P102" s="16" t="str">
        <f>'Stats og tweaks'!C$13</f>
        <v>Back squat</v>
      </c>
      <c r="Q102" s="5">
        <v>1</v>
      </c>
      <c r="R102" s="5" t="s">
        <v>72</v>
      </c>
      <c r="S102" s="5">
        <v>5</v>
      </c>
      <c r="T102" s="5" t="s">
        <v>60</v>
      </c>
      <c r="U102" s="6">
        <f>ROUND((0.9*(100+'Stats og tweaks'!$D$34)/100*Sheet2!U65)/'Stats og tweaks'!$D$35,0)*'Stats og tweaks'!$D$35</f>
        <v>120</v>
      </c>
    </row>
    <row r="103" spans="1:21" x14ac:dyDescent="0.2">
      <c r="A103" s="4"/>
      <c r="B103" s="16" t="str">
        <f>'Stats og tweaks'!A$13</f>
        <v>Front squat</v>
      </c>
      <c r="C103" s="5">
        <v>1</v>
      </c>
      <c r="D103" s="5" t="s">
        <v>72</v>
      </c>
      <c r="E103" s="5">
        <v>5</v>
      </c>
      <c r="F103" s="5" t="s">
        <v>60</v>
      </c>
      <c r="G103" s="6">
        <f>ROUND((1*(100+'Stats og tweaks'!$D$34)/100*Sheet2!G65)/'Stats og tweaks'!$D$35,0)*'Stats og tweaks'!$D$35</f>
        <v>107.5</v>
      </c>
      <c r="H103" s="4"/>
      <c r="I103" s="16" t="str">
        <f>'Stats og tweaks'!B$11</f>
        <v>Bænkpres</v>
      </c>
      <c r="J103" s="5">
        <v>1</v>
      </c>
      <c r="K103" s="5" t="s">
        <v>72</v>
      </c>
      <c r="L103" s="5">
        <v>5</v>
      </c>
      <c r="M103" s="5" t="s">
        <v>60</v>
      </c>
      <c r="N103" s="6">
        <f>ROUND((1*(100+'Stats og tweaks'!$D$34)/100*Sheet2!N65)/'Stats og tweaks'!$D$35,0)*'Stats og tweaks'!$D$35</f>
        <v>95</v>
      </c>
      <c r="O103" s="4"/>
      <c r="P103" s="16" t="str">
        <f>'Stats og tweaks'!C$13</f>
        <v>Back squat</v>
      </c>
      <c r="Q103" s="5">
        <v>1</v>
      </c>
      <c r="R103" s="5" t="s">
        <v>72</v>
      </c>
      <c r="S103" s="5">
        <v>5</v>
      </c>
      <c r="T103" s="5" t="s">
        <v>60</v>
      </c>
      <c r="U103" s="6">
        <f>ROUND((1*(100+'Stats og tweaks'!$D$34)/100*Sheet2!U65)/'Stats og tweaks'!$D$35,0)*'Stats og tweaks'!$D$35</f>
        <v>132.5</v>
      </c>
    </row>
    <row r="104" spans="1:21" x14ac:dyDescent="0.2">
      <c r="A104" s="4"/>
      <c r="B104" s="16" t="str">
        <f>'Stats og tweaks'!A$13</f>
        <v>Front squat</v>
      </c>
      <c r="C104" s="5">
        <v>5</v>
      </c>
      <c r="D104" s="5" t="s">
        <v>72</v>
      </c>
      <c r="E104" s="5">
        <v>5</v>
      </c>
      <c r="F104" s="5" t="s">
        <v>60</v>
      </c>
      <c r="G104" s="6">
        <f>ROUND((('Stats og tweaks'!$D$33)/100*(100+'Stats og tweaks'!$D$34)/100*Sheet2!G65)/'Stats og tweaks'!$D$35,0)*'Stats og tweaks'!$D$35</f>
        <v>87.5</v>
      </c>
      <c r="H104" s="4"/>
      <c r="I104" s="16" t="str">
        <f>'Stats og tweaks'!B$11</f>
        <v>Bænkpres</v>
      </c>
      <c r="J104" s="5">
        <v>5</v>
      </c>
      <c r="K104" s="5" t="s">
        <v>72</v>
      </c>
      <c r="L104" s="5">
        <v>5</v>
      </c>
      <c r="M104" s="5" t="s">
        <v>60</v>
      </c>
      <c r="N104" s="6">
        <f>ROUND((('Stats og tweaks'!$D$33)/100*(100+'Stats og tweaks'!$D$34)/100*Sheet2!N65)/'Stats og tweaks'!$D$35,0)*'Stats og tweaks'!$D$35</f>
        <v>77.5</v>
      </c>
      <c r="O104" s="4"/>
      <c r="P104" s="16" t="str">
        <f>'Stats og tweaks'!C$13</f>
        <v>Back squat</v>
      </c>
      <c r="Q104" s="5">
        <v>5</v>
      </c>
      <c r="R104" s="5" t="s">
        <v>72</v>
      </c>
      <c r="S104" s="5">
        <v>5</v>
      </c>
      <c r="T104" s="5" t="s">
        <v>60</v>
      </c>
      <c r="U104" s="6">
        <f>ROUND((('Stats og tweaks'!$D$33)/100*(100+'Stats og tweaks'!$D$34)/100*Sheet2!U65)/'Stats og tweaks'!$D$35,0)*'Stats og tweaks'!$D$35</f>
        <v>105</v>
      </c>
    </row>
    <row r="105" spans="1:21" x14ac:dyDescent="0.2">
      <c r="A105" s="4" t="s">
        <v>67</v>
      </c>
      <c r="B105" s="5" t="str">
        <f>'Stats og tweaks'!A$12</f>
        <v>Kropshævninger m. Vægt</v>
      </c>
      <c r="C105" s="5">
        <v>1</v>
      </c>
      <c r="D105" s="5" t="s">
        <v>72</v>
      </c>
      <c r="E105" s="5">
        <v>5</v>
      </c>
      <c r="F105" s="5" t="s">
        <v>60</v>
      </c>
      <c r="G105" s="6" t="str">
        <f>IF(ROUND(((0.6*(100+'Stats og tweaks'!$D$34)/100*(Sheet2!G71+'Stats og tweaks'!$C$7))-'Stats og tweaks'!$C$7)/'Stats og tweaks'!$D$35,0)*'Stats og tweaks'!$D$35&lt;0, "kropsvægt", ROUND(((0.6*(100+'Stats og tweaks'!$D$34)/100*(Sheet2!G71+'Stats og tweaks'!$C$7))-'Stats og tweaks'!$C$7)/'Stats og tweaks'!$D$35,0)*'Stats og tweaks'!$D$35)</f>
        <v>kropsvægt</v>
      </c>
      <c r="H105" s="4" t="s">
        <v>91</v>
      </c>
      <c r="I105" s="5" t="str">
        <f>'Stats og tweaks'!B$12</f>
        <v>Chest-supported rows</v>
      </c>
      <c r="J105" s="5">
        <v>10</v>
      </c>
      <c r="K105" s="5" t="s">
        <v>72</v>
      </c>
      <c r="L105" s="5">
        <v>5</v>
      </c>
      <c r="M105" s="5" t="s">
        <v>60</v>
      </c>
      <c r="N105" s="6">
        <f>ROUND((('Stats og tweaks'!$D$33)/100*N90)/'Stats og tweaks'!$D$35,0)*'Stats og tweaks'!$D$35</f>
        <v>65</v>
      </c>
      <c r="O105" s="4" t="s">
        <v>67</v>
      </c>
      <c r="P105" s="5" t="str">
        <f>'Stats og tweaks'!C$12</f>
        <v>Frivend</v>
      </c>
      <c r="Q105" s="5">
        <v>1</v>
      </c>
      <c r="R105" s="5" t="s">
        <v>72</v>
      </c>
      <c r="S105" s="5">
        <v>5</v>
      </c>
      <c r="T105" s="5" t="s">
        <v>60</v>
      </c>
      <c r="U105" s="6">
        <f>ROUND((0.6*(100+'Stats og tweaks'!$D$34)/100*Sheet2!U71)/'Stats og tweaks'!$D$35,0)*'Stats og tweaks'!$D$35</f>
        <v>60</v>
      </c>
    </row>
    <row r="106" spans="1:21" x14ac:dyDescent="0.2">
      <c r="A106" s="4"/>
      <c r="B106" s="16" t="str">
        <f>'Stats og tweaks'!A$12</f>
        <v>Kropshævninger m. Vægt</v>
      </c>
      <c r="C106" s="5">
        <v>1</v>
      </c>
      <c r="D106" s="5" t="s">
        <v>72</v>
      </c>
      <c r="E106" s="5">
        <v>5</v>
      </c>
      <c r="F106" s="5" t="s">
        <v>60</v>
      </c>
      <c r="G106" s="6">
        <f>IF(ROUND(((0.7*(100+'Stats og tweaks'!$D$34)/100*(Sheet2!G71+'Stats og tweaks'!$C$7))-'Stats og tweaks'!$C$7)/'Stats og tweaks'!$D$35,0)*'Stats og tweaks'!$D$35&lt;0, "kropsvægt", ROUND(((0.7*(100+'Stats og tweaks'!$D$34)/100*(Sheet2!G71+'Stats og tweaks'!$C$7))-'Stats og tweaks'!$C$7)/'Stats og tweaks'!$D$35,0)*'Stats og tweaks'!$D$35)</f>
        <v>0</v>
      </c>
      <c r="H106" s="4" t="s">
        <v>92</v>
      </c>
      <c r="I106" s="5" t="str">
        <f>'Stats og tweaks'!B$13</f>
        <v>Dødløft</v>
      </c>
      <c r="J106" s="5">
        <v>10</v>
      </c>
      <c r="K106" s="5" t="s">
        <v>72</v>
      </c>
      <c r="L106" s="5">
        <v>5</v>
      </c>
      <c r="M106" s="5" t="s">
        <v>60</v>
      </c>
      <c r="N106" s="6">
        <f>ROUND((('Stats og tweaks'!$D$33)/100*N84)/'Stats og tweaks'!$D$35,0)*'Stats og tweaks'!$D$35</f>
        <v>130</v>
      </c>
      <c r="O106" s="4"/>
      <c r="P106" s="16" t="str">
        <f>'Stats og tweaks'!C$12</f>
        <v>Frivend</v>
      </c>
      <c r="Q106" s="5">
        <v>1</v>
      </c>
      <c r="R106" s="5" t="s">
        <v>72</v>
      </c>
      <c r="S106" s="5">
        <v>5</v>
      </c>
      <c r="T106" s="5" t="s">
        <v>60</v>
      </c>
      <c r="U106" s="6">
        <f>ROUND((0.7*(100+'Stats og tweaks'!$D$34)/100*Sheet2!U71)/'Stats og tweaks'!$D$35,0)*'Stats og tweaks'!$D$35</f>
        <v>70</v>
      </c>
    </row>
    <row r="107" spans="1:21" x14ac:dyDescent="0.2">
      <c r="A107" s="4"/>
      <c r="B107" s="16" t="str">
        <f>'Stats og tweaks'!A$12</f>
        <v>Kropshævninger m. Vægt</v>
      </c>
      <c r="C107" s="5">
        <v>1</v>
      </c>
      <c r="D107" s="5" t="s">
        <v>72</v>
      </c>
      <c r="E107" s="5">
        <v>5</v>
      </c>
      <c r="F107" s="5" t="s">
        <v>60</v>
      </c>
      <c r="G107" s="6">
        <f>IF(ROUND(((0.8*(100+'Stats og tweaks'!$D$34)/100*(Sheet2!G71+'Stats og tweaks'!$C$7))-'Stats og tweaks'!$C$7)/'Stats og tweaks'!$D$35,0)*'Stats og tweaks'!$D$35&lt;0, "kropsvægt", ROUND(((0.8*(100+'Stats og tweaks'!$D$34)/100*(Sheet2!G71+'Stats og tweaks'!$C$7))-'Stats og tweaks'!$C$7)/'Stats og tweaks'!$D$35,0)*'Stats og tweaks'!$D$35)</f>
        <v>12.5</v>
      </c>
      <c r="H107" s="4" t="s">
        <v>93</v>
      </c>
      <c r="I107" s="14" t="str">
        <f>I69</f>
        <v>Decline wt. Crunches</v>
      </c>
      <c r="J107" s="14">
        <f t="shared" ref="J107:N107" si="18">J69</f>
        <v>5</v>
      </c>
      <c r="K107" s="14" t="str">
        <f t="shared" si="18"/>
        <v>x</v>
      </c>
      <c r="L107" s="14">
        <f t="shared" si="18"/>
        <v>5</v>
      </c>
      <c r="M107" s="14" t="str">
        <f t="shared" si="18"/>
        <v>@</v>
      </c>
      <c r="N107" s="14">
        <f t="shared" si="18"/>
        <v>0</v>
      </c>
      <c r="O107" s="4"/>
      <c r="P107" s="16" t="str">
        <f>'Stats og tweaks'!C$12</f>
        <v>Frivend</v>
      </c>
      <c r="Q107" s="5">
        <v>1</v>
      </c>
      <c r="R107" s="5" t="s">
        <v>72</v>
      </c>
      <c r="S107" s="5">
        <v>5</v>
      </c>
      <c r="T107" s="5" t="s">
        <v>60</v>
      </c>
      <c r="U107" s="6">
        <f>ROUND((0.8*(100+'Stats og tweaks'!$D$34)/100*Sheet2!U71)/'Stats og tweaks'!$D$35,0)*'Stats og tweaks'!$D$35</f>
        <v>80</v>
      </c>
    </row>
    <row r="108" spans="1:21" x14ac:dyDescent="0.2">
      <c r="A108" s="4"/>
      <c r="B108" s="16" t="str">
        <f>'Stats og tweaks'!A$12</f>
        <v>Kropshævninger m. Vægt</v>
      </c>
      <c r="C108" s="5">
        <v>1</v>
      </c>
      <c r="D108" s="5" t="s">
        <v>72</v>
      </c>
      <c r="E108" s="5">
        <v>5</v>
      </c>
      <c r="F108" s="5" t="s">
        <v>60</v>
      </c>
      <c r="G108" s="6">
        <f>IF(ROUND(((0.9*(100+'Stats og tweaks'!$D$34)/100*(Sheet2!G71+'Stats og tweaks'!$C$7))-'Stats og tweaks'!$C$7)/'Stats og tweaks'!$D$35,0)*'Stats og tweaks'!$D$35&lt;0, "kropsvægt", ROUND(((0.9*(100+'Stats og tweaks'!$D$34)/100*(Sheet2!G71+'Stats og tweaks'!$C$7))-'Stats og tweaks'!$C$7)/'Stats og tweaks'!$D$35,0)*'Stats og tweaks'!$D$35)</f>
        <v>25</v>
      </c>
      <c r="H108" s="4" t="s">
        <v>94</v>
      </c>
      <c r="I108" s="14" t="str">
        <f t="shared" ref="I108:N108" si="19">I70</f>
        <v>Side bends</v>
      </c>
      <c r="J108" s="14">
        <f t="shared" si="19"/>
        <v>5</v>
      </c>
      <c r="K108" s="14" t="str">
        <f t="shared" si="19"/>
        <v>x</v>
      </c>
      <c r="L108" s="14" t="str">
        <f t="shared" si="19"/>
        <v>6-8</v>
      </c>
      <c r="M108" s="14" t="str">
        <f t="shared" si="19"/>
        <v>@</v>
      </c>
      <c r="N108" s="14">
        <f t="shared" si="19"/>
        <v>0</v>
      </c>
      <c r="O108" s="4"/>
      <c r="P108" s="16" t="str">
        <f>'Stats og tweaks'!C$12</f>
        <v>Frivend</v>
      </c>
      <c r="Q108" s="5">
        <v>1</v>
      </c>
      <c r="R108" s="5" t="s">
        <v>72</v>
      </c>
      <c r="S108" s="5">
        <v>5</v>
      </c>
      <c r="T108" s="5" t="s">
        <v>60</v>
      </c>
      <c r="U108" s="6">
        <f>ROUND((0.9*(100+'Stats og tweaks'!$D$34)/100*Sheet2!U71)/'Stats og tweaks'!$D$35,0)*'Stats og tweaks'!$D$35</f>
        <v>90</v>
      </c>
    </row>
    <row r="109" spans="1:21" x14ac:dyDescent="0.2">
      <c r="A109" s="4"/>
      <c r="B109" s="16" t="str">
        <f>'Stats og tweaks'!A$12</f>
        <v>Kropshævninger m. Vægt</v>
      </c>
      <c r="C109" s="5">
        <v>1</v>
      </c>
      <c r="D109" s="5" t="s">
        <v>72</v>
      </c>
      <c r="E109" s="5">
        <v>5</v>
      </c>
      <c r="F109" s="5" t="s">
        <v>60</v>
      </c>
      <c r="G109" s="6">
        <f>IF(ROUND(((1*(100+'Stats og tweaks'!$D$34)/100*(Sheet2!G71+'Stats og tweaks'!$C$7))-'Stats og tweaks'!$C$7)/'Stats og tweaks'!$D$35,0)*'Stats og tweaks'!$D$35&lt;0, "kropsvægt", ROUND(((1*(100+'Stats og tweaks'!$D$34)/100*(Sheet2!G71+'Stats og tweaks'!$C$7))-'Stats og tweaks'!$C$7)/'Stats og tweaks'!$D$35,0)*'Stats og tweaks'!$D$35)</f>
        <v>40</v>
      </c>
      <c r="H109" s="4"/>
      <c r="I109" s="14"/>
      <c r="J109" s="14"/>
      <c r="K109" s="14"/>
      <c r="L109" s="14"/>
      <c r="M109" s="14"/>
      <c r="N109" s="14"/>
      <c r="O109" s="4"/>
      <c r="P109" s="16" t="str">
        <f>'Stats og tweaks'!C$12</f>
        <v>Frivend</v>
      </c>
      <c r="Q109" s="5">
        <v>1</v>
      </c>
      <c r="R109" s="5" t="s">
        <v>72</v>
      </c>
      <c r="S109" s="5">
        <v>5</v>
      </c>
      <c r="T109" s="5" t="s">
        <v>60</v>
      </c>
      <c r="U109" s="6">
        <f>ROUND((1*(100+'Stats og tweaks'!$D$34)/100*Sheet2!U71)/'Stats og tweaks'!$D$35,0)*'Stats og tweaks'!$D$35</f>
        <v>100</v>
      </c>
    </row>
    <row r="110" spans="1:21" x14ac:dyDescent="0.2">
      <c r="A110" s="4"/>
      <c r="B110" s="16" t="str">
        <f>'Stats og tweaks'!A$12</f>
        <v>Kropshævninger m. Vægt</v>
      </c>
      <c r="C110" s="5">
        <v>5</v>
      </c>
      <c r="D110" s="5" t="s">
        <v>72</v>
      </c>
      <c r="E110" s="5">
        <v>5</v>
      </c>
      <c r="F110" s="5" t="s">
        <v>60</v>
      </c>
      <c r="G110" s="6">
        <f>IF(ROUND(((('Stats og tweaks'!$D$33)/100*(100+'Stats og tweaks'!$D$34)/100*(Sheet2!G71+'Stats og tweaks'!$C$7))-'Stats og tweaks'!$C$7)/'Stats og tweaks'!$D$35,0)*'Stats og tweaks'!$D$35&lt;0, "kropsvægt", ROUND(((('Stats og tweaks'!$D$33)/100*(100+'Stats og tweaks'!$D$34)/100*(Sheet2!G71+'Stats og tweaks'!$C$7))-'Stats og tweaks'!$C$7)/'Stats og tweaks'!$D$35,0)*'Stats og tweaks'!$D$35)</f>
        <v>12.5</v>
      </c>
      <c r="H110" s="4"/>
      <c r="I110" s="14"/>
      <c r="J110" s="14"/>
      <c r="K110" s="14"/>
      <c r="L110" s="14"/>
      <c r="M110" s="14"/>
      <c r="N110" s="14"/>
      <c r="O110" s="4"/>
      <c r="P110" s="16" t="str">
        <f>'Stats og tweaks'!C$12</f>
        <v>Frivend</v>
      </c>
      <c r="Q110" s="5">
        <v>5</v>
      </c>
      <c r="R110" s="5" t="s">
        <v>72</v>
      </c>
      <c r="S110" s="5">
        <v>5</v>
      </c>
      <c r="T110" s="5" t="s">
        <v>60</v>
      </c>
      <c r="U110" s="6">
        <f>ROUND((('Stats og tweaks'!$D$33)/100*(100+'Stats og tweaks'!$D$34)/100*Sheet2!U71)/'Stats og tweaks'!$D$35,0)*'Stats og tweaks'!$D$35</f>
        <v>80</v>
      </c>
    </row>
    <row r="111" spans="1:21" x14ac:dyDescent="0.2">
      <c r="A111" s="4" t="s">
        <v>85</v>
      </c>
      <c r="B111" s="5" t="str">
        <f>'Stats og tweaks'!A$11</f>
        <v>Military press</v>
      </c>
      <c r="C111" s="5">
        <v>10</v>
      </c>
      <c r="D111" s="5" t="s">
        <v>74</v>
      </c>
      <c r="E111" s="5">
        <v>5</v>
      </c>
      <c r="F111" s="5" t="s">
        <v>60</v>
      </c>
      <c r="G111" s="6">
        <f>ROUND((('Stats og tweaks'!$D$33)/100*G84)/'Stats og tweaks'!$D$35,0)*'Stats og tweaks'!$D$35</f>
        <v>50</v>
      </c>
      <c r="H111" s="4"/>
      <c r="I111" s="5"/>
      <c r="J111" s="5"/>
      <c r="K111" s="5"/>
      <c r="L111" s="5"/>
      <c r="M111" s="5"/>
      <c r="N111" s="7"/>
      <c r="O111" s="4" t="s">
        <v>85</v>
      </c>
      <c r="P111" s="5" t="str">
        <f>'Stats og tweaks'!C$11</f>
        <v>Dips m. Vægt</v>
      </c>
      <c r="Q111" s="5">
        <v>10</v>
      </c>
      <c r="R111" s="5" t="s">
        <v>72</v>
      </c>
      <c r="S111" s="5">
        <v>5</v>
      </c>
      <c r="T111" s="5" t="s">
        <v>60</v>
      </c>
      <c r="U111" s="6">
        <f>IF((ROUND(((('Stats og tweaks'!$D$33)/100*(Sheet2!U46+'Stats og tweaks'!$C$7))-'Stats og tweaks'!$C$7)/'Stats og tweaks'!$D$35,0)*'Stats og tweaks'!$D$35)&lt;0, "kropsvægt", (ROUND(((('Stats og tweaks'!$D$33)/100*(Sheet2!U46+'Stats og tweaks'!$C$7))-'Stats og tweaks'!$C$7)/'Stats og tweaks'!$D$35,0)*'Stats og tweaks'!$D$35))</f>
        <v>12.5</v>
      </c>
    </row>
    <row r="112" spans="1:21" x14ac:dyDescent="0.2">
      <c r="A112" s="4"/>
      <c r="B112" s="14"/>
      <c r="C112" s="5"/>
      <c r="D112" s="5"/>
      <c r="E112" s="5"/>
      <c r="F112" s="5"/>
      <c r="G112" s="14"/>
      <c r="H112" s="4"/>
      <c r="I112" s="5"/>
      <c r="J112" s="5"/>
      <c r="K112" s="5"/>
      <c r="L112" s="5"/>
      <c r="M112" s="5"/>
      <c r="N112" s="7"/>
      <c r="O112" s="4"/>
      <c r="P112" s="14"/>
      <c r="Q112" s="14"/>
      <c r="R112" s="14"/>
      <c r="S112" s="14"/>
      <c r="T112" s="14"/>
      <c r="U112" s="22"/>
    </row>
    <row r="113" spans="1:21" x14ac:dyDescent="0.2">
      <c r="A113" s="4"/>
      <c r="B113" s="14"/>
      <c r="C113" s="5"/>
      <c r="D113" s="5"/>
      <c r="E113" s="5"/>
      <c r="F113" s="5"/>
      <c r="G113" s="14"/>
      <c r="H113" s="4"/>
      <c r="I113" s="5"/>
      <c r="J113" s="5"/>
      <c r="K113" s="5"/>
      <c r="L113" s="5"/>
      <c r="M113" s="5"/>
      <c r="N113" s="7"/>
      <c r="O113" s="4"/>
      <c r="P113" s="14"/>
      <c r="Q113" s="14"/>
      <c r="R113" s="14"/>
      <c r="S113" s="14"/>
      <c r="T113" s="14"/>
      <c r="U113" s="22"/>
    </row>
    <row r="114" spans="1:21" ht="13.5" thickBot="1" x14ac:dyDescent="0.25">
      <c r="A114" s="8"/>
      <c r="B114" s="9"/>
      <c r="C114" s="9"/>
      <c r="D114" s="9"/>
      <c r="E114" s="9"/>
      <c r="F114" s="9"/>
      <c r="G114" s="10"/>
      <c r="H114" s="8"/>
      <c r="I114" s="9"/>
      <c r="J114" s="9"/>
      <c r="K114" s="9"/>
      <c r="L114" s="9"/>
      <c r="M114" s="9"/>
      <c r="N114" s="10"/>
      <c r="O114" s="8"/>
      <c r="P114" s="9"/>
      <c r="Q114" s="9"/>
      <c r="R114" s="9"/>
      <c r="S114" s="9"/>
      <c r="T114" s="9"/>
      <c r="U114" s="10"/>
    </row>
    <row r="116" spans="1:21" ht="25.5" thickBot="1" x14ac:dyDescent="0.35">
      <c r="A116" s="25" t="s">
        <v>45</v>
      </c>
    </row>
    <row r="117" spans="1:21" ht="13.5" thickBot="1" x14ac:dyDescent="0.25">
      <c r="A117" s="11" t="s">
        <v>63</v>
      </c>
      <c r="B117" s="12"/>
      <c r="C117" s="12"/>
      <c r="D117" s="12"/>
      <c r="E117" s="12"/>
      <c r="F117" s="12"/>
      <c r="G117" s="13"/>
      <c r="H117" s="11" t="s">
        <v>83</v>
      </c>
      <c r="I117" s="12"/>
      <c r="J117" s="12"/>
      <c r="K117" s="12"/>
      <c r="L117" s="12"/>
      <c r="M117" s="12"/>
      <c r="N117" s="13"/>
      <c r="O117" s="11" t="s">
        <v>89</v>
      </c>
      <c r="P117" s="12"/>
      <c r="Q117" s="12"/>
      <c r="R117" s="12"/>
      <c r="S117" s="12"/>
      <c r="T117" s="12"/>
      <c r="U117" s="13"/>
    </row>
    <row r="118" spans="1:21" x14ac:dyDescent="0.2">
      <c r="A118" s="4" t="s">
        <v>65</v>
      </c>
      <c r="B118" s="5" t="str">
        <f>'Stats og tweaks'!A$11</f>
        <v>Military press</v>
      </c>
      <c r="C118" s="5">
        <v>1</v>
      </c>
      <c r="D118" s="5" t="s">
        <v>72</v>
      </c>
      <c r="E118" s="5">
        <v>5</v>
      </c>
      <c r="F118" s="5" t="s">
        <v>60</v>
      </c>
      <c r="G118" s="6">
        <f>ROUND((0.6*(100+'Stats og tweaks'!$D$34)/100*Sheet2!G84)/'Stats og tweaks'!$D$35,0)*'Stats og tweaks'!$D$35</f>
        <v>40</v>
      </c>
      <c r="H118" s="4" t="s">
        <v>84</v>
      </c>
      <c r="I118" s="5" t="str">
        <f>'Stats og tweaks'!B$13</f>
        <v>Dødløft</v>
      </c>
      <c r="J118" s="5">
        <v>1</v>
      </c>
      <c r="K118" s="5" t="s">
        <v>72</v>
      </c>
      <c r="L118" s="5">
        <v>5</v>
      </c>
      <c r="M118" s="5" t="s">
        <v>60</v>
      </c>
      <c r="N118" s="6">
        <f>ROUND((0.6*(100+'Stats og tweaks'!$D$34)/100*Sheet2!N84)/'Stats og tweaks'!$D$35,0)*'Stats og tweaks'!$D$35</f>
        <v>100</v>
      </c>
      <c r="O118" s="4" t="s">
        <v>65</v>
      </c>
      <c r="P118" s="5" t="str">
        <f>'Stats og tweaks'!C$11</f>
        <v>Dips m. Vægt</v>
      </c>
      <c r="Q118" s="5">
        <v>1</v>
      </c>
      <c r="R118" s="5" t="s">
        <v>72</v>
      </c>
      <c r="S118" s="5">
        <v>5</v>
      </c>
      <c r="T118" s="5" t="s">
        <v>60</v>
      </c>
      <c r="U118" s="6" t="str">
        <f>IF(ROUND(((0.6*(100+'Stats og tweaks'!$D$34)/100*(Sheet2!U84+'Stats og tweaks'!$C$7))-'Stats og tweaks'!$C$7)/'Stats og tweaks'!$D$35,0)*'Stats og tweaks'!$D$35&lt;0, "kropsvægt", ROUND(((0.6*(100+'Stats og tweaks'!$D$34)/100*(Sheet2!U84+'Stats og tweaks'!$C$7))-'Stats og tweaks'!$C$7)/'Stats og tweaks'!$D$35,0)*'Stats og tweaks'!$D$35)</f>
        <v>kropsvægt</v>
      </c>
    </row>
    <row r="119" spans="1:21" x14ac:dyDescent="0.2">
      <c r="A119" s="4"/>
      <c r="B119" s="16" t="str">
        <f>'Stats og tweaks'!A$11</f>
        <v>Military press</v>
      </c>
      <c r="C119" s="5">
        <v>1</v>
      </c>
      <c r="D119" s="5" t="s">
        <v>72</v>
      </c>
      <c r="E119" s="5">
        <v>5</v>
      </c>
      <c r="F119" s="5" t="s">
        <v>60</v>
      </c>
      <c r="G119" s="6">
        <f>ROUND((0.7*(100+'Stats og tweaks'!$D$34)/100*Sheet2!G84)/'Stats og tweaks'!$D$35,0)*'Stats og tweaks'!$D$35</f>
        <v>45</v>
      </c>
      <c r="H119" s="4"/>
      <c r="I119" s="16" t="str">
        <f>'Stats og tweaks'!B$13</f>
        <v>Dødløft</v>
      </c>
      <c r="J119" s="5">
        <v>1</v>
      </c>
      <c r="K119" s="5" t="s">
        <v>72</v>
      </c>
      <c r="L119" s="5">
        <v>5</v>
      </c>
      <c r="M119" s="5" t="s">
        <v>60</v>
      </c>
      <c r="N119" s="6">
        <f>ROUND((0.7*(100+'Stats og tweaks'!$D$34)/100*Sheet2!N84)/'Stats og tweaks'!$D$35,0)*'Stats og tweaks'!$D$35</f>
        <v>117.5</v>
      </c>
      <c r="O119" s="4"/>
      <c r="P119" s="16" t="str">
        <f>'Stats og tweaks'!C$11</f>
        <v>Dips m. Vægt</v>
      </c>
      <c r="Q119" s="5">
        <v>1</v>
      </c>
      <c r="R119" s="5" t="s">
        <v>72</v>
      </c>
      <c r="S119" s="5">
        <v>5</v>
      </c>
      <c r="T119" s="5" t="s">
        <v>60</v>
      </c>
      <c r="U119" s="6">
        <f>IF(ROUND(((0.7*(100+'Stats og tweaks'!$D$34)/100*(Sheet2!U84+'Stats og tweaks'!$C$7))-'Stats og tweaks'!$C$7)/'Stats og tweaks'!$D$35,0)*'Stats og tweaks'!$D$35&lt;0, "kropsvægt", ROUND(((0.7*(100+'Stats og tweaks'!$D$34)/100*(Sheet2!U84+'Stats og tweaks'!$C$7))-'Stats og tweaks'!$C$7)/'Stats og tweaks'!$D$35,0)*'Stats og tweaks'!$D$35)</f>
        <v>7.5</v>
      </c>
    </row>
    <row r="120" spans="1:21" x14ac:dyDescent="0.2">
      <c r="A120" s="4"/>
      <c r="B120" s="16" t="str">
        <f>'Stats og tweaks'!A$11</f>
        <v>Military press</v>
      </c>
      <c r="C120" s="5">
        <v>1</v>
      </c>
      <c r="D120" s="5" t="s">
        <v>72</v>
      </c>
      <c r="E120" s="5">
        <v>5</v>
      </c>
      <c r="F120" s="5" t="s">
        <v>60</v>
      </c>
      <c r="G120" s="6">
        <f>ROUND((0.8*(100+'Stats og tweaks'!$D$34)/100*Sheet2!G84)/'Stats og tweaks'!$D$35,0)*'Stats og tweaks'!$D$35</f>
        <v>52.5</v>
      </c>
      <c r="H120" s="4"/>
      <c r="I120" s="16" t="str">
        <f>'Stats og tweaks'!B$13</f>
        <v>Dødløft</v>
      </c>
      <c r="J120" s="5">
        <v>1</v>
      </c>
      <c r="K120" s="5" t="s">
        <v>72</v>
      </c>
      <c r="L120" s="5">
        <v>5</v>
      </c>
      <c r="M120" s="5" t="s">
        <v>60</v>
      </c>
      <c r="N120" s="6">
        <f>ROUND((0.8*(100+'Stats og tweaks'!$D$34)/100*Sheet2!N84)/'Stats og tweaks'!$D$35,0)*'Stats og tweaks'!$D$35</f>
        <v>135</v>
      </c>
      <c r="O120" s="4"/>
      <c r="P120" s="16" t="str">
        <f>'Stats og tweaks'!C$11</f>
        <v>Dips m. Vægt</v>
      </c>
      <c r="Q120" s="5">
        <v>1</v>
      </c>
      <c r="R120" s="5" t="s">
        <v>72</v>
      </c>
      <c r="S120" s="5">
        <v>5</v>
      </c>
      <c r="T120" s="5" t="s">
        <v>60</v>
      </c>
      <c r="U120" s="6">
        <f>IF(ROUND(((0.8*(100+'Stats og tweaks'!$D$34)/100*(Sheet2!U84+'Stats og tweaks'!$C$7))-'Stats og tweaks'!$C$7)/'Stats og tweaks'!$D$35,0)*'Stats og tweaks'!$D$35&lt;0, "kropsvægt", ROUND(((0.8*(100+'Stats og tweaks'!$D$34)/100*(Sheet2!U84+'Stats og tweaks'!$C$7))-'Stats og tweaks'!$C$7)/'Stats og tweaks'!$D$35,0)*'Stats og tweaks'!$D$35)</f>
        <v>20</v>
      </c>
    </row>
    <row r="121" spans="1:21" x14ac:dyDescent="0.2">
      <c r="A121" s="4"/>
      <c r="B121" s="16" t="str">
        <f>'Stats og tweaks'!A$11</f>
        <v>Military press</v>
      </c>
      <c r="C121" s="5">
        <v>1</v>
      </c>
      <c r="D121" s="5" t="s">
        <v>72</v>
      </c>
      <c r="E121" s="5">
        <v>5</v>
      </c>
      <c r="F121" s="5" t="s">
        <v>60</v>
      </c>
      <c r="G121" s="6">
        <f>ROUND((0.9*(100+'Stats og tweaks'!$D$34)/100*Sheet2!G84)/'Stats og tweaks'!$D$35,0)*'Stats og tweaks'!$D$35</f>
        <v>57.5</v>
      </c>
      <c r="H121" s="4"/>
      <c r="I121" s="16" t="str">
        <f>'Stats og tweaks'!B$13</f>
        <v>Dødløft</v>
      </c>
      <c r="J121" s="5">
        <v>1</v>
      </c>
      <c r="K121" s="5" t="s">
        <v>72</v>
      </c>
      <c r="L121" s="5">
        <v>5</v>
      </c>
      <c r="M121" s="5" t="s">
        <v>60</v>
      </c>
      <c r="N121" s="6">
        <f>ROUND((0.9*(100+'Stats og tweaks'!$D$34)/100*Sheet2!N84)/'Stats og tweaks'!$D$35,0)*'Stats og tweaks'!$D$35</f>
        <v>152.5</v>
      </c>
      <c r="O121" s="4"/>
      <c r="P121" s="16" t="str">
        <f>'Stats og tweaks'!C$11</f>
        <v>Dips m. Vægt</v>
      </c>
      <c r="Q121" s="5">
        <v>1</v>
      </c>
      <c r="R121" s="5" t="s">
        <v>72</v>
      </c>
      <c r="S121" s="5">
        <v>5</v>
      </c>
      <c r="T121" s="5" t="s">
        <v>60</v>
      </c>
      <c r="U121" s="6">
        <f>IF(ROUND(((0.9*(100+'Stats og tweaks'!$D$34)/100*(Sheet2!U84+'Stats og tweaks'!$C$7))-'Stats og tweaks'!$C$7)/'Stats og tweaks'!$D$35,0)*'Stats og tweaks'!$D$35&lt;0, "kropsvægt", ROUND(((0.9*(100+'Stats og tweaks'!$D$34)/100*(Sheet2!U84+'Stats og tweaks'!$C$7))-'Stats og tweaks'!$C$7)/'Stats og tweaks'!$D$35,0)*'Stats og tweaks'!$D$35)</f>
        <v>35</v>
      </c>
    </row>
    <row r="122" spans="1:21" x14ac:dyDescent="0.2">
      <c r="A122" s="4"/>
      <c r="B122" s="16" t="str">
        <f>'Stats og tweaks'!A$11</f>
        <v>Military press</v>
      </c>
      <c r="C122" s="5">
        <v>1</v>
      </c>
      <c r="D122" s="5" t="s">
        <v>72</v>
      </c>
      <c r="E122" s="5">
        <v>5</v>
      </c>
      <c r="F122" s="5" t="s">
        <v>60</v>
      </c>
      <c r="G122" s="6">
        <f>ROUND((1*(100+'Stats og tweaks'!$D$34)/100*Sheet2!G84)/'Stats og tweaks'!$D$35,0)*'Stats og tweaks'!$D$35</f>
        <v>65</v>
      </c>
      <c r="H122" s="4"/>
      <c r="I122" s="16" t="str">
        <f>'Stats og tweaks'!B$13</f>
        <v>Dødløft</v>
      </c>
      <c r="J122" s="5">
        <v>1</v>
      </c>
      <c r="K122" s="5" t="s">
        <v>72</v>
      </c>
      <c r="L122" s="5">
        <v>5</v>
      </c>
      <c r="M122" s="5" t="s">
        <v>60</v>
      </c>
      <c r="N122" s="6">
        <f>ROUND((1*(100+'Stats og tweaks'!$D$34)/100*Sheet2!N84)/'Stats og tweaks'!$D$35,0)*'Stats og tweaks'!$D$35</f>
        <v>167.5</v>
      </c>
      <c r="O122" s="4"/>
      <c r="P122" s="16" t="str">
        <f>'Stats og tweaks'!C$11</f>
        <v>Dips m. Vægt</v>
      </c>
      <c r="Q122" s="5">
        <v>1</v>
      </c>
      <c r="R122" s="5" t="s">
        <v>72</v>
      </c>
      <c r="S122" s="5">
        <v>5</v>
      </c>
      <c r="T122" s="5" t="s">
        <v>60</v>
      </c>
      <c r="U122" s="6">
        <f>IF(ROUND(((1*(100+'Stats og tweaks'!$D$34)/100*(Sheet2!U84+'Stats og tweaks'!$C$7))-'Stats og tweaks'!$C$7)/'Stats og tweaks'!$D$35,0)*'Stats og tweaks'!$D$35&lt;0, "kropsvægt", ROUND(((1*(100+'Stats og tweaks'!$D$34)/100*(Sheet2!U84+'Stats og tweaks'!$C$7))-'Stats og tweaks'!$C$7)/'Stats og tweaks'!$D$35,0)*'Stats og tweaks'!$D$35)</f>
        <v>50</v>
      </c>
    </row>
    <row r="123" spans="1:21" x14ac:dyDescent="0.2">
      <c r="A123" s="4"/>
      <c r="B123" s="16" t="str">
        <f>'Stats og tweaks'!A$11</f>
        <v>Military press</v>
      </c>
      <c r="C123" s="5">
        <v>5</v>
      </c>
      <c r="D123" s="5" t="s">
        <v>72</v>
      </c>
      <c r="E123" s="5">
        <v>5</v>
      </c>
      <c r="F123" s="5" t="s">
        <v>60</v>
      </c>
      <c r="G123" s="6">
        <f>ROUND((('Stats og tweaks'!$D$33)/100*(100+'Stats og tweaks'!$D$34)/100*Sheet2!G84)/'Stats og tweaks'!$D$35,0)*'Stats og tweaks'!$D$35</f>
        <v>52.5</v>
      </c>
      <c r="H123" s="4"/>
      <c r="I123" s="16" t="str">
        <f>'Stats og tweaks'!B$13</f>
        <v>Dødløft</v>
      </c>
      <c r="J123" s="5">
        <v>5</v>
      </c>
      <c r="K123" s="5" t="s">
        <v>72</v>
      </c>
      <c r="L123" s="5">
        <v>5</v>
      </c>
      <c r="M123" s="5" t="s">
        <v>60</v>
      </c>
      <c r="N123" s="6">
        <f>ROUND((('Stats og tweaks'!$D$33)/100*(100+'Stats og tweaks'!$D$34)/100*Sheet2!N84)/'Stats og tweaks'!$D$35,0)*'Stats og tweaks'!$D$35</f>
        <v>135</v>
      </c>
      <c r="O123" s="4"/>
      <c r="P123" s="16" t="str">
        <f>'Stats og tweaks'!C$11</f>
        <v>Dips m. Vægt</v>
      </c>
      <c r="Q123" s="5">
        <v>5</v>
      </c>
      <c r="R123" s="5" t="s">
        <v>72</v>
      </c>
      <c r="S123" s="5">
        <v>5</v>
      </c>
      <c r="T123" s="5" t="s">
        <v>60</v>
      </c>
      <c r="U123" s="6">
        <f>IF(ROUND(((('Stats og tweaks'!$D$33)/100*(100+'Stats og tweaks'!$D$34)/100*(Sheet2!U84+'Stats og tweaks'!$C$7))-'Stats og tweaks'!$C$7)/'Stats og tweaks'!$D$35,0)*'Stats og tweaks'!$D$35&lt;0, "kropsvægt", ROUND(((('Stats og tweaks'!$D$33)/100*(100+'Stats og tweaks'!$D$34)/100*(Sheet2!U84+'Stats og tweaks'!$C$7))-'Stats og tweaks'!$C$7)/'Stats og tweaks'!$D$35,0)*'Stats og tweaks'!$D$35)</f>
        <v>20</v>
      </c>
    </row>
    <row r="124" spans="1:21" x14ac:dyDescent="0.2">
      <c r="A124" s="4" t="s">
        <v>66</v>
      </c>
      <c r="B124" s="5" t="str">
        <f>'Stats og tweaks'!A$12</f>
        <v>Kropshævninger m. Vægt</v>
      </c>
      <c r="C124" s="5">
        <v>10</v>
      </c>
      <c r="D124" s="5" t="s">
        <v>72</v>
      </c>
      <c r="E124" s="5">
        <v>5</v>
      </c>
      <c r="F124" s="5" t="s">
        <v>60</v>
      </c>
      <c r="G124" s="6">
        <f>IF((ROUND(((('Stats og tweaks'!$D$33)/100*(Sheet2!G109+'Stats og tweaks'!$C$7))-'Stats og tweaks'!$C$7)/'Stats og tweaks'!$D$35,0)*'Stats og tweaks'!$D$35)&lt;0, "kropsvægt", (ROUND(((('Stats og tweaks'!$D$33)/100*(Sheet2!G109+'Stats og tweaks'!$C$7))-'Stats og tweaks'!$C$7)/'Stats og tweaks'!$D$35,0)*'Stats og tweaks'!D106))</f>
        <v>0</v>
      </c>
      <c r="H124" s="4" t="s">
        <v>67</v>
      </c>
      <c r="I124" s="5" t="str">
        <f>'Stats og tweaks'!B$12</f>
        <v>Chest-supported rows</v>
      </c>
      <c r="J124" s="5">
        <v>1</v>
      </c>
      <c r="K124" s="5" t="s">
        <v>72</v>
      </c>
      <c r="L124" s="5">
        <v>5</v>
      </c>
      <c r="M124" s="5" t="s">
        <v>60</v>
      </c>
      <c r="N124" s="6">
        <f>ROUND((0.6*(100+'Stats og tweaks'!$D$34)/100*Sheet2!N90)/'Stats og tweaks'!$D$35,0)*'Stats og tweaks'!$D$35</f>
        <v>50</v>
      </c>
      <c r="O124" s="4" t="s">
        <v>66</v>
      </c>
      <c r="P124" s="5" t="str">
        <f>'Stats og tweaks'!C$12</f>
        <v>Frivend</v>
      </c>
      <c r="Q124" s="5">
        <v>10</v>
      </c>
      <c r="R124" s="5" t="s">
        <v>74</v>
      </c>
      <c r="S124" s="5">
        <v>5</v>
      </c>
      <c r="T124" s="5" t="s">
        <v>60</v>
      </c>
      <c r="U124" s="6">
        <f>ROUND((('Stats og tweaks'!$D$33)/100*U147)/'Stats og tweaks'!$D$35,0)*'Stats og tweaks'!$D$35</f>
        <v>82.5</v>
      </c>
    </row>
    <row r="125" spans="1:21" x14ac:dyDescent="0.2">
      <c r="A125" s="4" t="s">
        <v>67</v>
      </c>
      <c r="B125" s="5" t="str">
        <f>'Stats og tweaks'!A$13</f>
        <v>Front squat</v>
      </c>
      <c r="C125" s="5">
        <v>10</v>
      </c>
      <c r="D125" s="5" t="s">
        <v>72</v>
      </c>
      <c r="E125" s="5">
        <v>5</v>
      </c>
      <c r="F125" s="5" t="s">
        <v>60</v>
      </c>
      <c r="G125" s="6">
        <f>ROUND((('Stats og tweaks'!$D$33)/100*G103)/'Stats og tweaks'!$D$35,0)*'Stats og tweaks'!$D$35</f>
        <v>85</v>
      </c>
      <c r="H125" s="4"/>
      <c r="I125" s="16" t="str">
        <f>'Stats og tweaks'!B$12</f>
        <v>Chest-supported rows</v>
      </c>
      <c r="J125" s="5">
        <v>1</v>
      </c>
      <c r="K125" s="5" t="s">
        <v>72</v>
      </c>
      <c r="L125" s="5">
        <v>5</v>
      </c>
      <c r="M125" s="5" t="s">
        <v>60</v>
      </c>
      <c r="N125" s="6">
        <f>ROUND((0.7*(100+'Stats og tweaks'!$D$34)/100*Sheet2!N90)/'Stats og tweaks'!$D$35,0)*'Stats og tweaks'!$D$35</f>
        <v>60</v>
      </c>
      <c r="O125" s="4" t="s">
        <v>67</v>
      </c>
      <c r="P125" s="5" t="str">
        <f>'Stats og tweaks'!C$13</f>
        <v>Back squat</v>
      </c>
      <c r="Q125" s="5">
        <v>10</v>
      </c>
      <c r="R125" s="5" t="s">
        <v>72</v>
      </c>
      <c r="S125" s="5">
        <v>5</v>
      </c>
      <c r="T125" s="5" t="s">
        <v>60</v>
      </c>
      <c r="U125" s="6">
        <f>ROUND((('Stats og tweaks'!$D$33)/100*Sheet2!U103)/'Stats og tweaks'!$D$35,0)*'Stats og tweaks'!$D$35</f>
        <v>105</v>
      </c>
    </row>
    <row r="126" spans="1:21" x14ac:dyDescent="0.2">
      <c r="A126" s="4" t="s">
        <v>28</v>
      </c>
      <c r="B126" s="14" t="str">
        <f>B88</f>
        <v>hanging leg raises</v>
      </c>
      <c r="C126" s="14">
        <f t="shared" ref="C126:F126" si="20">C88</f>
        <v>5</v>
      </c>
      <c r="D126" s="14" t="str">
        <f t="shared" si="20"/>
        <v>x</v>
      </c>
      <c r="E126" s="14" t="str">
        <f t="shared" si="20"/>
        <v>5-10</v>
      </c>
      <c r="F126" s="14" t="str">
        <f t="shared" si="20"/>
        <v>@</v>
      </c>
      <c r="G126" s="7">
        <f>G88</f>
        <v>0</v>
      </c>
      <c r="H126" s="4"/>
      <c r="I126" s="16" t="str">
        <f>'Stats og tweaks'!B$12</f>
        <v>Chest-supported rows</v>
      </c>
      <c r="J126" s="5">
        <v>1</v>
      </c>
      <c r="K126" s="5" t="s">
        <v>72</v>
      </c>
      <c r="L126" s="5">
        <v>5</v>
      </c>
      <c r="M126" s="5" t="s">
        <v>60</v>
      </c>
      <c r="N126" s="6">
        <f>ROUND((0.8*(100+'Stats og tweaks'!$D$34)/100*Sheet2!N90)/'Stats og tweaks'!$D$35,0)*'Stats og tweaks'!$D$35</f>
        <v>67.5</v>
      </c>
      <c r="O126" s="4" t="s">
        <v>28</v>
      </c>
      <c r="P126" s="14" t="str">
        <f t="shared" ref="P126:U126" si="21">P88</f>
        <v>Cabelcrunches</v>
      </c>
      <c r="Q126" s="14">
        <f t="shared" si="21"/>
        <v>5</v>
      </c>
      <c r="R126" s="14" t="str">
        <f t="shared" si="21"/>
        <v>x</v>
      </c>
      <c r="S126" s="14">
        <f t="shared" si="21"/>
        <v>5</v>
      </c>
      <c r="T126" s="14" t="str">
        <f t="shared" si="21"/>
        <v>@</v>
      </c>
      <c r="U126" s="22">
        <f t="shared" si="21"/>
        <v>0</v>
      </c>
    </row>
    <row r="127" spans="1:21" x14ac:dyDescent="0.2">
      <c r="A127" s="4" t="s">
        <v>29</v>
      </c>
      <c r="B127" s="14" t="str">
        <f t="shared" ref="B127:G127" si="22">B89</f>
        <v>Rumænsk dødløft</v>
      </c>
      <c r="C127" s="14">
        <f t="shared" si="22"/>
        <v>5</v>
      </c>
      <c r="D127" s="14" t="str">
        <f t="shared" si="22"/>
        <v>x</v>
      </c>
      <c r="E127" s="14" t="str">
        <f t="shared" si="22"/>
        <v>6-8</v>
      </c>
      <c r="F127" s="14" t="str">
        <f t="shared" si="22"/>
        <v>@</v>
      </c>
      <c r="G127" s="7">
        <f t="shared" si="22"/>
        <v>0</v>
      </c>
      <c r="H127" s="4"/>
      <c r="I127" s="16" t="str">
        <f>'Stats og tweaks'!B$12</f>
        <v>Chest-supported rows</v>
      </c>
      <c r="J127" s="5">
        <v>1</v>
      </c>
      <c r="K127" s="5" t="s">
        <v>72</v>
      </c>
      <c r="L127" s="5">
        <v>5</v>
      </c>
      <c r="M127" s="5" t="s">
        <v>60</v>
      </c>
      <c r="N127" s="6">
        <f>ROUND((0.9*(100+'Stats og tweaks'!$D$34)/100*Sheet2!N90)/'Stats og tweaks'!$D$35,0)*'Stats og tweaks'!$D$35</f>
        <v>77.5</v>
      </c>
      <c r="O127" s="4" t="s">
        <v>29</v>
      </c>
      <c r="P127" s="14" t="str">
        <f t="shared" ref="P127:U127" si="23">P89</f>
        <v>leg curl</v>
      </c>
      <c r="Q127" s="14">
        <f t="shared" si="23"/>
        <v>5</v>
      </c>
      <c r="R127" s="14" t="str">
        <f t="shared" si="23"/>
        <v>x</v>
      </c>
      <c r="S127" s="14" t="str">
        <f t="shared" si="23"/>
        <v>6-8</v>
      </c>
      <c r="T127" s="14" t="str">
        <f t="shared" si="23"/>
        <v>@</v>
      </c>
      <c r="U127" s="22">
        <f t="shared" si="23"/>
        <v>0</v>
      </c>
    </row>
    <row r="128" spans="1:21" x14ac:dyDescent="0.2">
      <c r="A128" s="4"/>
      <c r="B128" s="14"/>
      <c r="C128" s="14"/>
      <c r="D128" s="14"/>
      <c r="E128" s="14"/>
      <c r="F128" s="14"/>
      <c r="G128" s="7"/>
      <c r="H128" s="4"/>
      <c r="I128" s="16" t="str">
        <f>'Stats og tweaks'!B$12</f>
        <v>Chest-supported rows</v>
      </c>
      <c r="J128" s="5">
        <v>1</v>
      </c>
      <c r="K128" s="5" t="s">
        <v>72</v>
      </c>
      <c r="L128" s="5">
        <v>5</v>
      </c>
      <c r="M128" s="5" t="s">
        <v>60</v>
      </c>
      <c r="N128" s="6">
        <f>ROUND((1*(100+'Stats og tweaks'!$D$34)/100*Sheet2!N90)/'Stats og tweaks'!$D$35,0)*'Stats og tweaks'!$D$35</f>
        <v>85</v>
      </c>
      <c r="O128" s="4"/>
      <c r="P128" s="14"/>
      <c r="Q128" s="14"/>
      <c r="R128" s="14"/>
      <c r="S128" s="14"/>
      <c r="T128" s="14"/>
      <c r="U128" s="22"/>
    </row>
    <row r="129" spans="1:21" x14ac:dyDescent="0.2">
      <c r="A129" s="4"/>
      <c r="B129" s="14"/>
      <c r="C129" s="14"/>
      <c r="D129" s="14"/>
      <c r="E129" s="14"/>
      <c r="F129" s="14"/>
      <c r="G129" s="7"/>
      <c r="H129" s="4"/>
      <c r="I129" s="16" t="str">
        <f>'Stats og tweaks'!B$12</f>
        <v>Chest-supported rows</v>
      </c>
      <c r="J129" s="5">
        <v>5</v>
      </c>
      <c r="K129" s="5" t="s">
        <v>72</v>
      </c>
      <c r="L129" s="5">
        <v>5</v>
      </c>
      <c r="M129" s="5" t="s">
        <v>60</v>
      </c>
      <c r="N129" s="6">
        <f>ROUND((('Stats og tweaks'!$D$33)/100*(100+'Stats og tweaks'!$D$34)/100*Sheet2!N90)/'Stats og tweaks'!$D$35,0)*'Stats og tweaks'!$D$35</f>
        <v>67.5</v>
      </c>
      <c r="O129" s="4"/>
      <c r="P129" s="14"/>
      <c r="Q129" s="14"/>
      <c r="R129" s="14"/>
      <c r="S129" s="14"/>
      <c r="T129" s="14"/>
      <c r="U129" s="22"/>
    </row>
    <row r="130" spans="1:21" x14ac:dyDescent="0.2">
      <c r="A130" s="4"/>
      <c r="B130" s="5"/>
      <c r="C130" s="5"/>
      <c r="D130" s="5"/>
      <c r="E130" s="5"/>
      <c r="F130" s="5"/>
      <c r="G130" s="7"/>
      <c r="H130" s="4" t="s">
        <v>85</v>
      </c>
      <c r="I130" s="5" t="str">
        <f>'Stats og tweaks'!B$11</f>
        <v>Bænkpres</v>
      </c>
      <c r="J130" s="5">
        <v>10</v>
      </c>
      <c r="K130" s="5" t="s">
        <v>74</v>
      </c>
      <c r="L130" s="5">
        <v>5</v>
      </c>
      <c r="M130" s="5" t="s">
        <v>60</v>
      </c>
      <c r="N130" s="6">
        <f>ROUND((('Stats og tweaks'!$D$33)/100*Sheet2!N103)/'Stats og tweaks'!$D$35,0)*'Stats og tweaks'!$D$35</f>
        <v>75</v>
      </c>
      <c r="O130" s="4"/>
      <c r="P130" s="5"/>
      <c r="Q130" s="5"/>
      <c r="R130" s="5"/>
      <c r="S130" s="5"/>
      <c r="T130" s="5"/>
      <c r="U130" s="7"/>
    </row>
    <row r="131" spans="1:21" x14ac:dyDescent="0.2">
      <c r="A131" s="4"/>
      <c r="B131" s="5"/>
      <c r="C131" s="5"/>
      <c r="D131" s="5"/>
      <c r="E131" s="5"/>
      <c r="F131" s="5"/>
      <c r="G131" s="7"/>
      <c r="H131" s="4"/>
      <c r="I131" s="14"/>
      <c r="J131" s="14"/>
      <c r="K131" s="14"/>
      <c r="L131" s="14"/>
      <c r="M131" s="14"/>
      <c r="N131" s="7"/>
      <c r="O131" s="4"/>
      <c r="P131" s="5"/>
      <c r="Q131" s="5"/>
      <c r="R131" s="5"/>
      <c r="S131" s="5"/>
      <c r="T131" s="5"/>
      <c r="U131" s="7"/>
    </row>
    <row r="132" spans="1:21" x14ac:dyDescent="0.2">
      <c r="A132" s="4"/>
      <c r="B132" s="5"/>
      <c r="C132" s="5"/>
      <c r="D132" s="5"/>
      <c r="E132" s="5"/>
      <c r="F132" s="5"/>
      <c r="G132" s="7"/>
      <c r="H132" s="4"/>
      <c r="I132" s="14"/>
      <c r="J132" s="14"/>
      <c r="K132" s="14"/>
      <c r="L132" s="14"/>
      <c r="M132" s="14"/>
      <c r="N132" s="7"/>
      <c r="O132" s="4"/>
      <c r="P132" s="5"/>
      <c r="Q132" s="5"/>
      <c r="R132" s="5"/>
      <c r="S132" s="5"/>
      <c r="T132" s="5"/>
      <c r="U132" s="7"/>
    </row>
    <row r="133" spans="1:21" ht="13.5" thickBot="1" x14ac:dyDescent="0.25">
      <c r="A133" s="8"/>
      <c r="B133" s="9"/>
      <c r="C133" s="9"/>
      <c r="D133" s="9"/>
      <c r="E133" s="9"/>
      <c r="F133" s="9"/>
      <c r="G133" s="10"/>
      <c r="H133" s="8"/>
      <c r="I133" s="9"/>
      <c r="J133" s="9"/>
      <c r="K133" s="9"/>
      <c r="L133" s="9"/>
      <c r="M133" s="9"/>
      <c r="N133" s="10"/>
      <c r="O133" s="8"/>
      <c r="P133" s="9"/>
      <c r="Q133" s="9"/>
      <c r="R133" s="9"/>
      <c r="S133" s="9"/>
      <c r="T133" s="9"/>
      <c r="U133" s="10"/>
    </row>
    <row r="135" spans="1:21" ht="25.5" thickBot="1" x14ac:dyDescent="0.35">
      <c r="A135" s="25" t="s">
        <v>22</v>
      </c>
    </row>
    <row r="136" spans="1:21" ht="13.5" thickBot="1" x14ac:dyDescent="0.25">
      <c r="A136" s="11" t="s">
        <v>95</v>
      </c>
      <c r="B136" s="12"/>
      <c r="C136" s="12"/>
      <c r="D136" s="12"/>
      <c r="E136" s="12"/>
      <c r="F136" s="12"/>
      <c r="G136" s="13"/>
      <c r="H136" s="11" t="s">
        <v>96</v>
      </c>
      <c r="I136" s="12"/>
      <c r="J136" s="12"/>
      <c r="K136" s="12"/>
      <c r="L136" s="12"/>
      <c r="M136" s="12"/>
      <c r="N136" s="13"/>
      <c r="O136" s="11" t="s">
        <v>97</v>
      </c>
      <c r="P136" s="12"/>
      <c r="Q136" s="12"/>
      <c r="R136" s="12"/>
      <c r="S136" s="12"/>
      <c r="T136" s="12"/>
      <c r="U136" s="13"/>
    </row>
    <row r="137" spans="1:21" x14ac:dyDescent="0.2">
      <c r="A137" s="4" t="s">
        <v>84</v>
      </c>
      <c r="B137" s="5" t="str">
        <f>'Stats og tweaks'!A$13</f>
        <v>Front squat</v>
      </c>
      <c r="C137" s="5">
        <v>1</v>
      </c>
      <c r="D137" s="5" t="s">
        <v>72</v>
      </c>
      <c r="E137" s="5">
        <v>5</v>
      </c>
      <c r="F137" s="5" t="s">
        <v>60</v>
      </c>
      <c r="G137" s="6">
        <f>ROUND((0.6*(100+'Stats og tweaks'!$D$34)/100*Sheet2!G103)/'Stats og tweaks'!$D$35,0)*'Stats og tweaks'!$D$35</f>
        <v>67.5</v>
      </c>
      <c r="H137" s="4" t="s">
        <v>90</v>
      </c>
      <c r="I137" s="5" t="str">
        <f>'Stats og tweaks'!B$11</f>
        <v>Bænkpres</v>
      </c>
      <c r="J137" s="5">
        <v>1</v>
      </c>
      <c r="K137" s="5" t="s">
        <v>72</v>
      </c>
      <c r="L137" s="5">
        <v>5</v>
      </c>
      <c r="M137" s="5" t="s">
        <v>60</v>
      </c>
      <c r="N137" s="6">
        <f>ROUND((0.6*(100+'Stats og tweaks'!$D$34)/100*Sheet2!N103)/'Stats og tweaks'!$D$35,0)*'Stats og tweaks'!$D$35</f>
        <v>60</v>
      </c>
      <c r="O137" s="4" t="s">
        <v>84</v>
      </c>
      <c r="P137" s="5" t="str">
        <f>'Stats og tweaks'!C$13</f>
        <v>Back squat</v>
      </c>
      <c r="Q137" s="5">
        <v>1</v>
      </c>
      <c r="R137" s="5" t="s">
        <v>72</v>
      </c>
      <c r="S137" s="5">
        <v>5</v>
      </c>
      <c r="T137" s="5" t="s">
        <v>60</v>
      </c>
      <c r="U137" s="6">
        <f>ROUND((0.6*(100+'Stats og tweaks'!$D$34)/100*Sheet2!U103)/'Stats og tweaks'!$D$35,0)*'Stats og tweaks'!$D$35</f>
        <v>82.5</v>
      </c>
    </row>
    <row r="138" spans="1:21" x14ac:dyDescent="0.2">
      <c r="A138" s="4"/>
      <c r="B138" s="16" t="str">
        <f>'Stats og tweaks'!A$13</f>
        <v>Front squat</v>
      </c>
      <c r="C138" s="5">
        <v>1</v>
      </c>
      <c r="D138" s="5" t="s">
        <v>72</v>
      </c>
      <c r="E138" s="5">
        <v>5</v>
      </c>
      <c r="F138" s="5" t="s">
        <v>60</v>
      </c>
      <c r="G138" s="6">
        <f>ROUND((0.7*(100+'Stats og tweaks'!$D$34)/100*Sheet2!G103)/'Stats og tweaks'!$D$35,0)*'Stats og tweaks'!$D$35</f>
        <v>77.5</v>
      </c>
      <c r="H138" s="4"/>
      <c r="I138" s="16" t="str">
        <f>'Stats og tweaks'!B$11</f>
        <v>Bænkpres</v>
      </c>
      <c r="J138" s="5">
        <v>1</v>
      </c>
      <c r="K138" s="5" t="s">
        <v>72</v>
      </c>
      <c r="L138" s="5">
        <v>5</v>
      </c>
      <c r="M138" s="5" t="s">
        <v>60</v>
      </c>
      <c r="N138" s="6">
        <f>ROUND((0.7*(100+'Stats og tweaks'!$D$34)/100*Sheet2!N103)/'Stats og tweaks'!$D$35,0)*'Stats og tweaks'!$D$35</f>
        <v>70</v>
      </c>
      <c r="O138" s="4"/>
      <c r="P138" s="16" t="str">
        <f>'Stats og tweaks'!C$13</f>
        <v>Back squat</v>
      </c>
      <c r="Q138" s="5">
        <v>1</v>
      </c>
      <c r="R138" s="5" t="s">
        <v>72</v>
      </c>
      <c r="S138" s="5">
        <v>5</v>
      </c>
      <c r="T138" s="5" t="s">
        <v>60</v>
      </c>
      <c r="U138" s="6">
        <f>ROUND((0.7*(100+'Stats og tweaks'!$D$34)/100*Sheet2!U103)/'Stats og tweaks'!$D$35,0)*'Stats og tweaks'!$D$35</f>
        <v>95</v>
      </c>
    </row>
    <row r="139" spans="1:21" x14ac:dyDescent="0.2">
      <c r="A139" s="4"/>
      <c r="B139" s="16" t="str">
        <f>'Stats og tweaks'!A$13</f>
        <v>Front squat</v>
      </c>
      <c r="C139" s="5">
        <v>1</v>
      </c>
      <c r="D139" s="5" t="s">
        <v>72</v>
      </c>
      <c r="E139" s="5">
        <v>5</v>
      </c>
      <c r="F139" s="5" t="s">
        <v>60</v>
      </c>
      <c r="G139" s="6">
        <f>ROUND((0.8*(100+'Stats og tweaks'!$D$34)/100*Sheet2!G103)/'Stats og tweaks'!$D$35,0)*'Stats og tweaks'!$D$35</f>
        <v>90</v>
      </c>
      <c r="H139" s="4"/>
      <c r="I139" s="16" t="str">
        <f>'Stats og tweaks'!B$11</f>
        <v>Bænkpres</v>
      </c>
      <c r="J139" s="5">
        <v>1</v>
      </c>
      <c r="K139" s="5" t="s">
        <v>72</v>
      </c>
      <c r="L139" s="5">
        <v>5</v>
      </c>
      <c r="M139" s="5" t="s">
        <v>60</v>
      </c>
      <c r="N139" s="6">
        <f>ROUND((0.8*(100+'Stats og tweaks'!$D$34)/100*Sheet2!N103)/'Stats og tweaks'!$D$35,0)*'Stats og tweaks'!$D$35</f>
        <v>77.5</v>
      </c>
      <c r="O139" s="4"/>
      <c r="P139" s="16" t="str">
        <f>'Stats og tweaks'!C$13</f>
        <v>Back squat</v>
      </c>
      <c r="Q139" s="5">
        <v>1</v>
      </c>
      <c r="R139" s="5" t="s">
        <v>72</v>
      </c>
      <c r="S139" s="5">
        <v>5</v>
      </c>
      <c r="T139" s="5" t="s">
        <v>60</v>
      </c>
      <c r="U139" s="6">
        <f>ROUND((0.8*(100+'Stats og tweaks'!$D$34)/100*Sheet2!U103)/'Stats og tweaks'!$D$35,0)*'Stats og tweaks'!$D$35</f>
        <v>110</v>
      </c>
    </row>
    <row r="140" spans="1:21" x14ac:dyDescent="0.2">
      <c r="A140" s="4"/>
      <c r="B140" s="16" t="str">
        <f>'Stats og tweaks'!A$13</f>
        <v>Front squat</v>
      </c>
      <c r="C140" s="5">
        <v>1</v>
      </c>
      <c r="D140" s="5" t="s">
        <v>72</v>
      </c>
      <c r="E140" s="5">
        <v>5</v>
      </c>
      <c r="F140" s="5" t="s">
        <v>60</v>
      </c>
      <c r="G140" s="6">
        <f>ROUND((0.9*(100+'Stats og tweaks'!$D$34)/100*Sheet2!G103)/'Stats og tweaks'!$D$35,0)*'Stats og tweaks'!$D$35</f>
        <v>100</v>
      </c>
      <c r="H140" s="4"/>
      <c r="I140" s="16" t="str">
        <f>'Stats og tweaks'!B$11</f>
        <v>Bænkpres</v>
      </c>
      <c r="J140" s="5">
        <v>1</v>
      </c>
      <c r="K140" s="5" t="s">
        <v>72</v>
      </c>
      <c r="L140" s="5">
        <v>5</v>
      </c>
      <c r="M140" s="5" t="s">
        <v>60</v>
      </c>
      <c r="N140" s="6">
        <f>ROUND((0.9*(100+'Stats og tweaks'!$D$34)/100*Sheet2!N103)/'Stats og tweaks'!$D$35,0)*'Stats og tweaks'!$D$35</f>
        <v>87.5</v>
      </c>
      <c r="O140" s="4"/>
      <c r="P140" s="16" t="str">
        <f>'Stats og tweaks'!C$13</f>
        <v>Back squat</v>
      </c>
      <c r="Q140" s="5">
        <v>1</v>
      </c>
      <c r="R140" s="5" t="s">
        <v>72</v>
      </c>
      <c r="S140" s="5">
        <v>5</v>
      </c>
      <c r="T140" s="5" t="s">
        <v>60</v>
      </c>
      <c r="U140" s="6">
        <f>ROUND((0.9*(100+'Stats og tweaks'!$D$34)/100*Sheet2!U103)/'Stats og tweaks'!$D$35,0)*'Stats og tweaks'!$D$35</f>
        <v>122.5</v>
      </c>
    </row>
    <row r="141" spans="1:21" x14ac:dyDescent="0.2">
      <c r="A141" s="4"/>
      <c r="B141" s="16" t="str">
        <f>'Stats og tweaks'!A$13</f>
        <v>Front squat</v>
      </c>
      <c r="C141" s="5">
        <v>1</v>
      </c>
      <c r="D141" s="5" t="s">
        <v>72</v>
      </c>
      <c r="E141" s="5">
        <v>5</v>
      </c>
      <c r="F141" s="5" t="s">
        <v>60</v>
      </c>
      <c r="G141" s="6">
        <f>ROUND((1*(100+'Stats og tweaks'!$D$34)/100*Sheet2!G103)/'Stats og tweaks'!$D$35,0)*'Stats og tweaks'!$D$35</f>
        <v>112.5</v>
      </c>
      <c r="H141" s="4"/>
      <c r="I141" s="16" t="str">
        <f>'Stats og tweaks'!B$11</f>
        <v>Bænkpres</v>
      </c>
      <c r="J141" s="5">
        <v>1</v>
      </c>
      <c r="K141" s="5" t="s">
        <v>72</v>
      </c>
      <c r="L141" s="5">
        <v>5</v>
      </c>
      <c r="M141" s="5" t="s">
        <v>60</v>
      </c>
      <c r="N141" s="6">
        <f>ROUND((1*(100+'Stats og tweaks'!$D$34)/100*Sheet2!N103)/'Stats og tweaks'!$D$35,0)*'Stats og tweaks'!$D$35</f>
        <v>97.5</v>
      </c>
      <c r="O141" s="4"/>
      <c r="P141" s="16" t="str">
        <f>'Stats og tweaks'!C$13</f>
        <v>Back squat</v>
      </c>
      <c r="Q141" s="5">
        <v>1</v>
      </c>
      <c r="R141" s="5" t="s">
        <v>72</v>
      </c>
      <c r="S141" s="5">
        <v>5</v>
      </c>
      <c r="T141" s="5" t="s">
        <v>60</v>
      </c>
      <c r="U141" s="6">
        <f>ROUND((1*(100+'Stats og tweaks'!$D$34)/100*Sheet2!U103)/'Stats og tweaks'!$D$35,0)*'Stats og tweaks'!$D$35</f>
        <v>137.5</v>
      </c>
    </row>
    <row r="142" spans="1:21" x14ac:dyDescent="0.2">
      <c r="A142" s="4"/>
      <c r="B142" s="16" t="str">
        <f>'Stats og tweaks'!A$13</f>
        <v>Front squat</v>
      </c>
      <c r="C142" s="5">
        <v>5</v>
      </c>
      <c r="D142" s="5" t="s">
        <v>72</v>
      </c>
      <c r="E142" s="5">
        <v>5</v>
      </c>
      <c r="F142" s="5" t="s">
        <v>60</v>
      </c>
      <c r="G142" s="6">
        <f>ROUND((('Stats og tweaks'!$D$33)/100*(100+'Stats og tweaks'!$D$34)/100*Sheet2!G103)/'Stats og tweaks'!$D$35,0)*'Stats og tweaks'!$D$35</f>
        <v>90</v>
      </c>
      <c r="H142" s="4"/>
      <c r="I142" s="16" t="str">
        <f>'Stats og tweaks'!B$11</f>
        <v>Bænkpres</v>
      </c>
      <c r="J142" s="5">
        <v>5</v>
      </c>
      <c r="K142" s="5" t="s">
        <v>72</v>
      </c>
      <c r="L142" s="5">
        <v>5</v>
      </c>
      <c r="M142" s="5" t="s">
        <v>60</v>
      </c>
      <c r="N142" s="6">
        <f>ROUND((('Stats og tweaks'!$D$33)/100*(100+'Stats og tweaks'!$D$34)/100*Sheet2!N103)/'Stats og tweaks'!$D$35,0)*'Stats og tweaks'!$D$35</f>
        <v>77.5</v>
      </c>
      <c r="O142" s="4"/>
      <c r="P142" s="16" t="str">
        <f>'Stats og tweaks'!C$13</f>
        <v>Back squat</v>
      </c>
      <c r="Q142" s="5">
        <v>5</v>
      </c>
      <c r="R142" s="5" t="s">
        <v>72</v>
      </c>
      <c r="S142" s="5">
        <v>5</v>
      </c>
      <c r="T142" s="5" t="s">
        <v>60</v>
      </c>
      <c r="U142" s="6">
        <f>ROUND((('Stats og tweaks'!$D$33)/100*(100+'Stats og tweaks'!$D$34)/100*Sheet2!U103)/'Stats og tweaks'!$D$35,0)*'Stats og tweaks'!$D$35</f>
        <v>110</v>
      </c>
    </row>
    <row r="143" spans="1:21" x14ac:dyDescent="0.2">
      <c r="A143" s="4" t="s">
        <v>67</v>
      </c>
      <c r="B143" s="5" t="str">
        <f>'Stats og tweaks'!A$12</f>
        <v>Kropshævninger m. Vægt</v>
      </c>
      <c r="C143" s="5">
        <v>1</v>
      </c>
      <c r="D143" s="5" t="s">
        <v>72</v>
      </c>
      <c r="E143" s="5">
        <v>5</v>
      </c>
      <c r="F143" s="5" t="s">
        <v>60</v>
      </c>
      <c r="G143" s="6" t="str">
        <f>IF(ROUND(((0.6*(100+'Stats og tweaks'!$D$34)/100*(Sheet2!G109+'Stats og tweaks'!$C$7))-'Stats og tweaks'!$C$7)/'Stats og tweaks'!$D$35,0)*'Stats og tweaks'!$D$35&lt;0, "kropsvægt", ROUND(((0.6*(100+'Stats og tweaks'!$D$34)/100*(Sheet2!G109+'Stats og tweaks'!$C$7))-'Stats og tweaks'!$C$7)/'Stats og tweaks'!$D$35,0)*'Stats og tweaks'!$D$35)</f>
        <v>kropsvægt</v>
      </c>
      <c r="H143" s="4" t="s">
        <v>91</v>
      </c>
      <c r="I143" s="5" t="str">
        <f>'Stats og tweaks'!B$12</f>
        <v>Chest-supported rows</v>
      </c>
      <c r="J143" s="5">
        <v>10</v>
      </c>
      <c r="K143" s="5" t="s">
        <v>72</v>
      </c>
      <c r="L143" s="5">
        <v>5</v>
      </c>
      <c r="M143" s="5" t="s">
        <v>60</v>
      </c>
      <c r="N143" s="6">
        <f>ROUND((('Stats og tweaks'!$D$33)/100*N128)/'Stats og tweaks'!$D$35,0)*'Stats og tweaks'!$D$35</f>
        <v>67.5</v>
      </c>
      <c r="O143" s="4" t="s">
        <v>67</v>
      </c>
      <c r="P143" s="5" t="str">
        <f>'Stats og tweaks'!C$12</f>
        <v>Frivend</v>
      </c>
      <c r="Q143" s="5">
        <v>1</v>
      </c>
      <c r="R143" s="5" t="s">
        <v>72</v>
      </c>
      <c r="S143" s="5">
        <v>5</v>
      </c>
      <c r="T143" s="5" t="s">
        <v>60</v>
      </c>
      <c r="U143" s="6">
        <f>ROUND((0.6*(100+'Stats og tweaks'!$D$34)/100*Sheet2!U109)/'Stats og tweaks'!$D$35,0)*'Stats og tweaks'!$D$35</f>
        <v>62.5</v>
      </c>
    </row>
    <row r="144" spans="1:21" x14ac:dyDescent="0.2">
      <c r="A144" s="4"/>
      <c r="B144" s="16" t="str">
        <f>'Stats og tweaks'!A$12</f>
        <v>Kropshævninger m. Vægt</v>
      </c>
      <c r="C144" s="5">
        <v>1</v>
      </c>
      <c r="D144" s="5" t="s">
        <v>72</v>
      </c>
      <c r="E144" s="5">
        <v>5</v>
      </c>
      <c r="F144" s="5" t="s">
        <v>60</v>
      </c>
      <c r="G144" s="6">
        <f>IF(ROUND(((0.7*(100+'Stats og tweaks'!$D$34)/100*(Sheet2!G109+'Stats og tweaks'!$C$7))-'Stats og tweaks'!$C$7)/'Stats og tweaks'!$D$35,0)*'Stats og tweaks'!$D$35&lt;0, "kropsvægt", ROUND(((0.7*(100+'Stats og tweaks'!$D$34)/100*(Sheet2!G109+'Stats og tweaks'!$C$7))-'Stats og tweaks'!$C$7)/'Stats og tweaks'!$D$35,0)*'Stats og tweaks'!$D$35)</f>
        <v>2.5</v>
      </c>
      <c r="H144" s="4" t="s">
        <v>92</v>
      </c>
      <c r="I144" s="5" t="str">
        <f>'Stats og tweaks'!B$13</f>
        <v>Dødløft</v>
      </c>
      <c r="J144" s="5">
        <v>10</v>
      </c>
      <c r="K144" s="5" t="s">
        <v>72</v>
      </c>
      <c r="L144" s="5">
        <v>5</v>
      </c>
      <c r="M144" s="5" t="s">
        <v>60</v>
      </c>
      <c r="N144" s="6">
        <f>ROUND((('Stats og tweaks'!$D$33)/100*N122)/'Stats og tweaks'!$D$35,0)*'Stats og tweaks'!$D$35</f>
        <v>135</v>
      </c>
      <c r="O144" s="4"/>
      <c r="P144" s="16" t="str">
        <f>'Stats og tweaks'!C$12</f>
        <v>Frivend</v>
      </c>
      <c r="Q144" s="5">
        <v>1</v>
      </c>
      <c r="R144" s="5" t="s">
        <v>72</v>
      </c>
      <c r="S144" s="5">
        <v>5</v>
      </c>
      <c r="T144" s="5" t="s">
        <v>60</v>
      </c>
      <c r="U144" s="6">
        <f>ROUND((0.7*(100+'Stats og tweaks'!$D$34)/100*Sheet2!U109)/'Stats og tweaks'!$D$35,0)*'Stats og tweaks'!$D$35</f>
        <v>72.5</v>
      </c>
    </row>
    <row r="145" spans="1:21" x14ac:dyDescent="0.2">
      <c r="A145" s="4"/>
      <c r="B145" s="16" t="str">
        <f>'Stats og tweaks'!A$12</f>
        <v>Kropshævninger m. Vægt</v>
      </c>
      <c r="C145" s="5">
        <v>1</v>
      </c>
      <c r="D145" s="5" t="s">
        <v>72</v>
      </c>
      <c r="E145" s="5">
        <v>5</v>
      </c>
      <c r="F145" s="5" t="s">
        <v>60</v>
      </c>
      <c r="G145" s="6">
        <f>IF(ROUND(((0.8*(100+'Stats og tweaks'!$D$34)/100*(Sheet2!G109+'Stats og tweaks'!$C$7))-'Stats og tweaks'!$C$7)/'Stats og tweaks'!$D$35,0)*'Stats og tweaks'!$D$35&lt;0, "kropsvægt", ROUND(((0.8*(100+'Stats og tweaks'!$D$34)/100*(Sheet2!G109+'Stats og tweaks'!$C$7))-'Stats og tweaks'!$C$7)/'Stats og tweaks'!$D$35,0)*'Stats og tweaks'!$D$35)</f>
        <v>17.5</v>
      </c>
      <c r="H145" s="4" t="s">
        <v>93</v>
      </c>
      <c r="I145" s="14" t="str">
        <f>I107</f>
        <v>Decline wt. Crunches</v>
      </c>
      <c r="J145" s="14">
        <f t="shared" ref="J145:N145" si="24">J107</f>
        <v>5</v>
      </c>
      <c r="K145" s="14" t="str">
        <f t="shared" si="24"/>
        <v>x</v>
      </c>
      <c r="L145" s="14">
        <f t="shared" si="24"/>
        <v>5</v>
      </c>
      <c r="M145" s="14" t="str">
        <f t="shared" si="24"/>
        <v>@</v>
      </c>
      <c r="N145" s="14">
        <f t="shared" si="24"/>
        <v>0</v>
      </c>
      <c r="O145" s="4"/>
      <c r="P145" s="16" t="str">
        <f>'Stats og tweaks'!C$12</f>
        <v>Frivend</v>
      </c>
      <c r="Q145" s="5">
        <v>1</v>
      </c>
      <c r="R145" s="5" t="s">
        <v>72</v>
      </c>
      <c r="S145" s="5">
        <v>5</v>
      </c>
      <c r="T145" s="5" t="s">
        <v>60</v>
      </c>
      <c r="U145" s="6">
        <f>ROUND((0.8*(100+'Stats og tweaks'!$D$34)/100*Sheet2!U109)/'Stats og tweaks'!$D$35,0)*'Stats og tweaks'!$D$35</f>
        <v>82.5</v>
      </c>
    </row>
    <row r="146" spans="1:21" x14ac:dyDescent="0.2">
      <c r="A146" s="4"/>
      <c r="B146" s="16" t="str">
        <f>'Stats og tweaks'!A$12</f>
        <v>Kropshævninger m. Vægt</v>
      </c>
      <c r="C146" s="5">
        <v>1</v>
      </c>
      <c r="D146" s="5" t="s">
        <v>72</v>
      </c>
      <c r="E146" s="5">
        <v>5</v>
      </c>
      <c r="F146" s="5" t="s">
        <v>60</v>
      </c>
      <c r="G146" s="6">
        <f>IF(ROUND(((0.9*(100+'Stats og tweaks'!$D$34)/100*(Sheet2!G109+'Stats og tweaks'!$C$7))-'Stats og tweaks'!$C$7)/'Stats og tweaks'!$D$35,0)*'Stats og tweaks'!$D$35&lt;0, "kropsvægt", ROUND(((0.9*(100+'Stats og tweaks'!$D$34)/100*(Sheet2!G109+'Stats og tweaks'!$C$7))-'Stats og tweaks'!$C$7)/'Stats og tweaks'!$D$35,0)*'Stats og tweaks'!$D$35)</f>
        <v>30</v>
      </c>
      <c r="H146" s="4" t="s">
        <v>94</v>
      </c>
      <c r="I146" s="14" t="str">
        <f t="shared" ref="I146:N146" si="25">I108</f>
        <v>Side bends</v>
      </c>
      <c r="J146" s="14">
        <f t="shared" si="25"/>
        <v>5</v>
      </c>
      <c r="K146" s="14" t="str">
        <f t="shared" si="25"/>
        <v>x</v>
      </c>
      <c r="L146" s="14" t="str">
        <f t="shared" si="25"/>
        <v>6-8</v>
      </c>
      <c r="M146" s="14" t="str">
        <f t="shared" si="25"/>
        <v>@</v>
      </c>
      <c r="N146" s="14">
        <f t="shared" si="25"/>
        <v>0</v>
      </c>
      <c r="O146" s="4"/>
      <c r="P146" s="16" t="str">
        <f>'Stats og tweaks'!C$12</f>
        <v>Frivend</v>
      </c>
      <c r="Q146" s="5">
        <v>1</v>
      </c>
      <c r="R146" s="5" t="s">
        <v>72</v>
      </c>
      <c r="S146" s="5">
        <v>5</v>
      </c>
      <c r="T146" s="5" t="s">
        <v>60</v>
      </c>
      <c r="U146" s="6">
        <f>ROUND((0.9*(100+'Stats og tweaks'!$D$34)/100*Sheet2!U109)/'Stats og tweaks'!$D$35,0)*'Stats og tweaks'!$D$35</f>
        <v>92.5</v>
      </c>
    </row>
    <row r="147" spans="1:21" x14ac:dyDescent="0.2">
      <c r="A147" s="4"/>
      <c r="B147" s="16" t="str">
        <f>'Stats og tweaks'!A$12</f>
        <v>Kropshævninger m. Vægt</v>
      </c>
      <c r="C147" s="5">
        <v>1</v>
      </c>
      <c r="D147" s="5" t="s">
        <v>72</v>
      </c>
      <c r="E147" s="5">
        <v>5</v>
      </c>
      <c r="F147" s="5" t="s">
        <v>60</v>
      </c>
      <c r="G147" s="6">
        <f>IF(ROUND(((1*(100+'Stats og tweaks'!$D$34)/100*(Sheet2!G109+'Stats og tweaks'!$C$7))-'Stats og tweaks'!$C$7)/'Stats og tweaks'!$D$35,0)*'Stats og tweaks'!$D$35&lt;0, "kropsvægt", ROUND(((1*(100+'Stats og tweaks'!$D$34)/100*(Sheet2!G109+'Stats og tweaks'!$C$7))-'Stats og tweaks'!$C$7)/'Stats og tweaks'!$D$35,0)*'Stats og tweaks'!$D$35)</f>
        <v>45</v>
      </c>
      <c r="H147" s="4"/>
      <c r="I147" s="14"/>
      <c r="J147" s="14"/>
      <c r="K147" s="14"/>
      <c r="L147" s="14"/>
      <c r="M147" s="14"/>
      <c r="N147" s="14"/>
      <c r="O147" s="4"/>
      <c r="P147" s="16" t="str">
        <f>'Stats og tweaks'!C$12</f>
        <v>Frivend</v>
      </c>
      <c r="Q147" s="5">
        <v>1</v>
      </c>
      <c r="R147" s="5" t="s">
        <v>72</v>
      </c>
      <c r="S147" s="5">
        <v>5</v>
      </c>
      <c r="T147" s="5" t="s">
        <v>60</v>
      </c>
      <c r="U147" s="6">
        <f>ROUND((1*(100+'Stats og tweaks'!$D$34)/100*Sheet2!U109)/'Stats og tweaks'!$D$35,0)*'Stats og tweaks'!$D$35</f>
        <v>102.5</v>
      </c>
    </row>
    <row r="148" spans="1:21" x14ac:dyDescent="0.2">
      <c r="A148" s="4"/>
      <c r="B148" s="16" t="str">
        <f>'Stats og tweaks'!A$12</f>
        <v>Kropshævninger m. Vægt</v>
      </c>
      <c r="C148" s="5">
        <v>5</v>
      </c>
      <c r="D148" s="5" t="s">
        <v>72</v>
      </c>
      <c r="E148" s="5">
        <v>5</v>
      </c>
      <c r="F148" s="5" t="s">
        <v>60</v>
      </c>
      <c r="G148" s="6">
        <f>IF(ROUND(((('Stats og tweaks'!$D$33)/100*(100+'Stats og tweaks'!$D$34)/100*(Sheet2!G109+'Stats og tweaks'!$C$7))-'Stats og tweaks'!$C$7)/'Stats og tweaks'!$D$35,0)*'Stats og tweaks'!$D$35&lt;0, "kropsvægt", ROUND(((('Stats og tweaks'!$D$33)/100*(100+'Stats og tweaks'!$D$34)/100*(Sheet2!G109+'Stats og tweaks'!$C$7))-'Stats og tweaks'!$C$7)/'Stats og tweaks'!$D$35,0)*'Stats og tweaks'!$D$35)</f>
        <v>17.5</v>
      </c>
      <c r="H148" s="4"/>
      <c r="I148" s="14"/>
      <c r="J148" s="14"/>
      <c r="K148" s="14"/>
      <c r="L148" s="14"/>
      <c r="M148" s="14"/>
      <c r="N148" s="14"/>
      <c r="O148" s="4"/>
      <c r="P148" s="16" t="str">
        <f>'Stats og tweaks'!C$12</f>
        <v>Frivend</v>
      </c>
      <c r="Q148" s="5">
        <v>5</v>
      </c>
      <c r="R148" s="5" t="s">
        <v>72</v>
      </c>
      <c r="S148" s="5">
        <v>5</v>
      </c>
      <c r="T148" s="5" t="s">
        <v>60</v>
      </c>
      <c r="U148" s="6">
        <f>ROUND((('Stats og tweaks'!$D$33)/100*(100+'Stats og tweaks'!$D$34)/100*Sheet2!U109)/'Stats og tweaks'!$D$35,0)*'Stats og tweaks'!$D$35</f>
        <v>82.5</v>
      </c>
    </row>
    <row r="149" spans="1:21" x14ac:dyDescent="0.2">
      <c r="A149" s="4" t="s">
        <v>85</v>
      </c>
      <c r="B149" s="5" t="str">
        <f>'Stats og tweaks'!A$11</f>
        <v>Military press</v>
      </c>
      <c r="C149" s="5">
        <v>10</v>
      </c>
      <c r="D149" s="5" t="s">
        <v>74</v>
      </c>
      <c r="E149" s="5">
        <v>5</v>
      </c>
      <c r="F149" s="5" t="s">
        <v>60</v>
      </c>
      <c r="G149" s="6">
        <f>ROUND((('Stats og tweaks'!$D$33)/100*G122)/'Stats og tweaks'!$D$35,0)*'Stats og tweaks'!$D$35</f>
        <v>52.5</v>
      </c>
      <c r="H149" s="4"/>
      <c r="I149" s="5"/>
      <c r="J149" s="5"/>
      <c r="K149" s="5"/>
      <c r="L149" s="5"/>
      <c r="M149" s="5"/>
      <c r="N149" s="7"/>
      <c r="O149" s="4" t="s">
        <v>85</v>
      </c>
      <c r="P149" s="5" t="str">
        <f>'Stats og tweaks'!C$11</f>
        <v>Dips m. Vægt</v>
      </c>
      <c r="Q149" s="5">
        <v>10</v>
      </c>
      <c r="R149" s="5" t="s">
        <v>72</v>
      </c>
      <c r="S149" s="5">
        <v>5</v>
      </c>
      <c r="T149" s="5" t="s">
        <v>60</v>
      </c>
      <c r="U149" s="6">
        <f>IF((ROUND(((('Stats og tweaks'!$D$33)/100*(Sheet2!U84+'Stats og tweaks'!$C$7))-'Stats og tweaks'!$C$7)/'Stats og tweaks'!$D$35,0)*'Stats og tweaks'!$D$35)&lt;0, "kropsvægt", (ROUND(((('Stats og tweaks'!$D$33)/100*(Sheet2!U84+'Stats og tweaks'!$C$7))-'Stats og tweaks'!$C$7)/'Stats og tweaks'!$D$35,0)*'Stats og tweaks'!$D$35))</f>
        <v>17.5</v>
      </c>
    </row>
    <row r="150" spans="1:21" x14ac:dyDescent="0.2">
      <c r="A150" s="4"/>
      <c r="B150" s="14"/>
      <c r="C150" s="5"/>
      <c r="D150" s="5"/>
      <c r="E150" s="5"/>
      <c r="F150" s="5"/>
      <c r="G150" s="14"/>
      <c r="H150" s="4"/>
      <c r="I150" s="5"/>
      <c r="J150" s="5"/>
      <c r="K150" s="5"/>
      <c r="L150" s="5"/>
      <c r="M150" s="5"/>
      <c r="N150" s="7"/>
      <c r="O150" s="4"/>
      <c r="P150" s="14"/>
      <c r="Q150" s="14"/>
      <c r="R150" s="14"/>
      <c r="S150" s="14"/>
      <c r="T150" s="14"/>
      <c r="U150" s="22"/>
    </row>
    <row r="151" spans="1:21" x14ac:dyDescent="0.2">
      <c r="A151" s="4"/>
      <c r="B151" s="14"/>
      <c r="C151" s="5"/>
      <c r="D151" s="5"/>
      <c r="E151" s="5"/>
      <c r="F151" s="5"/>
      <c r="G151" s="14"/>
      <c r="H151" s="4"/>
      <c r="I151" s="5"/>
      <c r="J151" s="5"/>
      <c r="K151" s="5"/>
      <c r="L151" s="5"/>
      <c r="M151" s="5"/>
      <c r="N151" s="7"/>
      <c r="O151" s="4"/>
      <c r="P151" s="14"/>
      <c r="Q151" s="14"/>
      <c r="R151" s="14"/>
      <c r="S151" s="14"/>
      <c r="T151" s="14"/>
      <c r="U151" s="22"/>
    </row>
    <row r="152" spans="1:21" ht="13.5" thickBot="1" x14ac:dyDescent="0.25">
      <c r="A152" s="8"/>
      <c r="B152" s="9"/>
      <c r="C152" s="9"/>
      <c r="D152" s="9"/>
      <c r="E152" s="9"/>
      <c r="F152" s="9"/>
      <c r="G152" s="10"/>
      <c r="H152" s="8"/>
      <c r="I152" s="9"/>
      <c r="J152" s="9"/>
      <c r="K152" s="9"/>
      <c r="L152" s="9"/>
      <c r="M152" s="9"/>
      <c r="N152" s="10"/>
      <c r="O152" s="8"/>
      <c r="P152" s="9"/>
      <c r="Q152" s="9"/>
      <c r="R152" s="9"/>
      <c r="S152" s="9"/>
      <c r="T152" s="9"/>
      <c r="U152" s="10"/>
    </row>
    <row r="154" spans="1:21" ht="25.5" thickBot="1" x14ac:dyDescent="0.35">
      <c r="A154" s="25" t="s">
        <v>23</v>
      </c>
    </row>
    <row r="155" spans="1:21" ht="13.5" thickBot="1" x14ac:dyDescent="0.25">
      <c r="A155" s="11" t="s">
        <v>63</v>
      </c>
      <c r="B155" s="12"/>
      <c r="C155" s="12"/>
      <c r="D155" s="12"/>
      <c r="E155" s="12"/>
      <c r="F155" s="12"/>
      <c r="G155" s="13"/>
      <c r="H155" s="11" t="s">
        <v>83</v>
      </c>
      <c r="I155" s="12"/>
      <c r="J155" s="12"/>
      <c r="K155" s="12"/>
      <c r="L155" s="12"/>
      <c r="M155" s="12"/>
      <c r="N155" s="13"/>
      <c r="O155" s="11" t="s">
        <v>89</v>
      </c>
      <c r="P155" s="12"/>
      <c r="Q155" s="12"/>
      <c r="R155" s="12"/>
      <c r="S155" s="12"/>
      <c r="T155" s="12"/>
      <c r="U155" s="13"/>
    </row>
    <row r="156" spans="1:21" x14ac:dyDescent="0.2">
      <c r="A156" s="4" t="s">
        <v>65</v>
      </c>
      <c r="B156" s="5" t="str">
        <f>'Stats og tweaks'!A$11</f>
        <v>Military press</v>
      </c>
      <c r="C156" s="5">
        <v>1</v>
      </c>
      <c r="D156" s="5" t="s">
        <v>72</v>
      </c>
      <c r="E156" s="5">
        <v>5</v>
      </c>
      <c r="F156" s="5" t="s">
        <v>60</v>
      </c>
      <c r="G156" s="6">
        <f>ROUND((0.6*(100+'Stats og tweaks'!$D$34)/100*Sheet2!G122)/'Stats og tweaks'!$D$35,0)*'Stats og tweaks'!$D$35</f>
        <v>40</v>
      </c>
      <c r="H156" s="4" t="s">
        <v>84</v>
      </c>
      <c r="I156" s="5" t="str">
        <f>'Stats og tweaks'!B$13</f>
        <v>Dødløft</v>
      </c>
      <c r="J156" s="5">
        <v>1</v>
      </c>
      <c r="K156" s="5" t="s">
        <v>72</v>
      </c>
      <c r="L156" s="5">
        <v>5</v>
      </c>
      <c r="M156" s="5" t="s">
        <v>60</v>
      </c>
      <c r="N156" s="6">
        <f>ROUND((0.6*(100+'Stats og tweaks'!$D$34)/100*Sheet2!N122)/'Stats og tweaks'!$D$35,0)*'Stats og tweaks'!$D$35</f>
        <v>105</v>
      </c>
      <c r="O156" s="4" t="s">
        <v>65</v>
      </c>
      <c r="P156" s="5" t="str">
        <f>'Stats og tweaks'!C$11</f>
        <v>Dips m. Vægt</v>
      </c>
      <c r="Q156" s="5">
        <v>1</v>
      </c>
      <c r="R156" s="5" t="s">
        <v>72</v>
      </c>
      <c r="S156" s="5">
        <v>5</v>
      </c>
      <c r="T156" s="5" t="s">
        <v>60</v>
      </c>
      <c r="U156" s="6" t="str">
        <f>IF(ROUND(((0.6*(100+'Stats og tweaks'!$D$34)/100*(Sheet2!U122+'Stats og tweaks'!$C$7))-'Stats og tweaks'!$C$7)/'Stats og tweaks'!$D$35,0)*'Stats og tweaks'!$D$35&lt;0, "kropsvægt", ROUND(((0.6*(100+'Stats og tweaks'!$D$34)/100*(Sheet2!U122+'Stats og tweaks'!$C$7))-'Stats og tweaks'!$C$7)/'Stats og tweaks'!$D$35,0)*'Stats og tweaks'!$D$35)</f>
        <v>kropsvægt</v>
      </c>
    </row>
    <row r="157" spans="1:21" x14ac:dyDescent="0.2">
      <c r="A157" s="4"/>
      <c r="B157" s="16" t="str">
        <f>'Stats og tweaks'!A$11</f>
        <v>Military press</v>
      </c>
      <c r="C157" s="5">
        <v>1</v>
      </c>
      <c r="D157" s="5" t="s">
        <v>72</v>
      </c>
      <c r="E157" s="5">
        <v>5</v>
      </c>
      <c r="F157" s="5" t="s">
        <v>60</v>
      </c>
      <c r="G157" s="6">
        <f>ROUND((0.7*(100+'Stats og tweaks'!$D$34)/100*Sheet2!G122)/'Stats og tweaks'!$D$35,0)*'Stats og tweaks'!$D$35</f>
        <v>47.5</v>
      </c>
      <c r="H157" s="4"/>
      <c r="I157" s="16" t="str">
        <f>'Stats og tweaks'!B$13</f>
        <v>Dødløft</v>
      </c>
      <c r="J157" s="5">
        <v>1</v>
      </c>
      <c r="K157" s="5" t="s">
        <v>72</v>
      </c>
      <c r="L157" s="5">
        <v>5</v>
      </c>
      <c r="M157" s="5" t="s">
        <v>60</v>
      </c>
      <c r="N157" s="6">
        <f>ROUND((0.7*(100+'Stats og tweaks'!$D$34)/100*Sheet2!N122)/'Stats og tweaks'!$D$35,0)*'Stats og tweaks'!$D$35</f>
        <v>122.5</v>
      </c>
      <c r="O157" s="4"/>
      <c r="P157" s="16" t="str">
        <f>'Stats og tweaks'!C$11</f>
        <v>Dips m. Vægt</v>
      </c>
      <c r="Q157" s="5">
        <v>1</v>
      </c>
      <c r="R157" s="5" t="s">
        <v>72</v>
      </c>
      <c r="S157" s="5">
        <v>5</v>
      </c>
      <c r="T157" s="5" t="s">
        <v>60</v>
      </c>
      <c r="U157" s="6">
        <f>IF(ROUND(((0.7*(100+'Stats og tweaks'!$D$34)/100*(Sheet2!U122+'Stats og tweaks'!$C$7))-'Stats og tweaks'!$C$7)/'Stats og tweaks'!$D$35,0)*'Stats og tweaks'!$D$35&lt;0, "kropsvægt", ROUND(((0.7*(100+'Stats og tweaks'!$D$34)/100*(Sheet2!U122+'Stats og tweaks'!$C$7))-'Stats og tweaks'!$C$7)/'Stats og tweaks'!$D$35,0)*'Stats og tweaks'!$D$35)</f>
        <v>10</v>
      </c>
    </row>
    <row r="158" spans="1:21" x14ac:dyDescent="0.2">
      <c r="A158" s="4"/>
      <c r="B158" s="16" t="str">
        <f>'Stats og tweaks'!A$11</f>
        <v>Military press</v>
      </c>
      <c r="C158" s="5">
        <v>1</v>
      </c>
      <c r="D158" s="5" t="s">
        <v>72</v>
      </c>
      <c r="E158" s="5">
        <v>5</v>
      </c>
      <c r="F158" s="5" t="s">
        <v>60</v>
      </c>
      <c r="G158" s="6">
        <f>ROUND((0.8*(100+'Stats og tweaks'!$D$34)/100*Sheet2!G122)/'Stats og tweaks'!$D$35,0)*'Stats og tweaks'!$D$35</f>
        <v>55</v>
      </c>
      <c r="H158" s="4"/>
      <c r="I158" s="16" t="str">
        <f>'Stats og tweaks'!B$13</f>
        <v>Dødløft</v>
      </c>
      <c r="J158" s="5">
        <v>1</v>
      </c>
      <c r="K158" s="5" t="s">
        <v>72</v>
      </c>
      <c r="L158" s="5">
        <v>5</v>
      </c>
      <c r="M158" s="5" t="s">
        <v>60</v>
      </c>
      <c r="N158" s="6">
        <f>ROUND((0.8*(100+'Stats og tweaks'!$D$34)/100*Sheet2!N122)/'Stats og tweaks'!$D$35,0)*'Stats og tweaks'!$D$35</f>
        <v>137.5</v>
      </c>
      <c r="O158" s="4"/>
      <c r="P158" s="16" t="str">
        <f>'Stats og tweaks'!C$11</f>
        <v>Dips m. Vægt</v>
      </c>
      <c r="Q158" s="5">
        <v>1</v>
      </c>
      <c r="R158" s="5" t="s">
        <v>72</v>
      </c>
      <c r="S158" s="5">
        <v>5</v>
      </c>
      <c r="T158" s="5" t="s">
        <v>60</v>
      </c>
      <c r="U158" s="6">
        <f>IF(ROUND(((0.8*(100+'Stats og tweaks'!$D$34)/100*(Sheet2!U122+'Stats og tweaks'!$C$7))-'Stats og tweaks'!$C$7)/'Stats og tweaks'!$D$35,0)*'Stats og tweaks'!$D$35&lt;0, "kropsvægt", ROUND(((0.8*(100+'Stats og tweaks'!$D$34)/100*(Sheet2!U122+'Stats og tweaks'!$C$7))-'Stats og tweaks'!$C$7)/'Stats og tweaks'!$D$35,0)*'Stats og tweaks'!$D$35)</f>
        <v>25</v>
      </c>
    </row>
    <row r="159" spans="1:21" x14ac:dyDescent="0.2">
      <c r="A159" s="4"/>
      <c r="B159" s="16" t="str">
        <f>'Stats og tweaks'!A$11</f>
        <v>Military press</v>
      </c>
      <c r="C159" s="5">
        <v>1</v>
      </c>
      <c r="D159" s="5" t="s">
        <v>72</v>
      </c>
      <c r="E159" s="5">
        <v>5</v>
      </c>
      <c r="F159" s="5" t="s">
        <v>60</v>
      </c>
      <c r="G159" s="6">
        <f>ROUND((0.9*(100+'Stats og tweaks'!$D$34)/100*Sheet2!G122)/'Stats og tweaks'!$D$35,0)*'Stats og tweaks'!$D$35</f>
        <v>60</v>
      </c>
      <c r="H159" s="4"/>
      <c r="I159" s="16" t="str">
        <f>'Stats og tweaks'!B$13</f>
        <v>Dødløft</v>
      </c>
      <c r="J159" s="5">
        <v>1</v>
      </c>
      <c r="K159" s="5" t="s">
        <v>72</v>
      </c>
      <c r="L159" s="5">
        <v>5</v>
      </c>
      <c r="M159" s="5" t="s">
        <v>60</v>
      </c>
      <c r="N159" s="6">
        <f>ROUND((0.9*(100+'Stats og tweaks'!$D$34)/100*Sheet2!N122)/'Stats og tweaks'!$D$35,0)*'Stats og tweaks'!$D$35</f>
        <v>155</v>
      </c>
      <c r="O159" s="4"/>
      <c r="P159" s="16" t="str">
        <f>'Stats og tweaks'!C$11</f>
        <v>Dips m. Vægt</v>
      </c>
      <c r="Q159" s="5">
        <v>1</v>
      </c>
      <c r="R159" s="5" t="s">
        <v>72</v>
      </c>
      <c r="S159" s="5">
        <v>5</v>
      </c>
      <c r="T159" s="5" t="s">
        <v>60</v>
      </c>
      <c r="U159" s="6">
        <f>IF(ROUND(((0.9*(100+'Stats og tweaks'!$D$34)/100*(Sheet2!U122+'Stats og tweaks'!$C$7))-'Stats og tweaks'!$C$7)/'Stats og tweaks'!$D$35,0)*'Stats og tweaks'!$D$35&lt;0, "kropsvægt", ROUND(((0.9*(100+'Stats og tweaks'!$D$34)/100*(Sheet2!U122+'Stats og tweaks'!$C$7))-'Stats og tweaks'!$C$7)/'Stats og tweaks'!$D$35,0)*'Stats og tweaks'!$D$35)</f>
        <v>40</v>
      </c>
    </row>
    <row r="160" spans="1:21" x14ac:dyDescent="0.2">
      <c r="A160" s="4"/>
      <c r="B160" s="16" t="str">
        <f>'Stats og tweaks'!A$11</f>
        <v>Military press</v>
      </c>
      <c r="C160" s="5">
        <v>1</v>
      </c>
      <c r="D160" s="5" t="s">
        <v>72</v>
      </c>
      <c r="E160" s="5">
        <v>5</v>
      </c>
      <c r="F160" s="5" t="s">
        <v>60</v>
      </c>
      <c r="G160" s="6">
        <f>ROUND((1*(100+'Stats og tweaks'!$D$34)/100*Sheet2!G122)/'Stats og tweaks'!$D$35,0)*'Stats og tweaks'!$D$35</f>
        <v>67.5</v>
      </c>
      <c r="H160" s="4"/>
      <c r="I160" s="16" t="str">
        <f>'Stats og tweaks'!B$13</f>
        <v>Dødløft</v>
      </c>
      <c r="J160" s="5">
        <v>1</v>
      </c>
      <c r="K160" s="5" t="s">
        <v>72</v>
      </c>
      <c r="L160" s="5">
        <v>5</v>
      </c>
      <c r="M160" s="5" t="s">
        <v>60</v>
      </c>
      <c r="N160" s="6">
        <f>ROUND((1*(100+'Stats og tweaks'!$D$34)/100*Sheet2!N122)/'Stats og tweaks'!$D$35,0)*'Stats og tweaks'!$D$35</f>
        <v>172.5</v>
      </c>
      <c r="O160" s="4"/>
      <c r="P160" s="16" t="str">
        <f>'Stats og tweaks'!C$11</f>
        <v>Dips m. Vægt</v>
      </c>
      <c r="Q160" s="5">
        <v>1</v>
      </c>
      <c r="R160" s="5" t="s">
        <v>72</v>
      </c>
      <c r="S160" s="5">
        <v>5</v>
      </c>
      <c r="T160" s="5" t="s">
        <v>60</v>
      </c>
      <c r="U160" s="6">
        <f>IF(ROUND(((1*(100+'Stats og tweaks'!$D$34)/100*(Sheet2!U122+'Stats og tweaks'!$C$7))-'Stats og tweaks'!$C$7)/'Stats og tweaks'!$D$35,0)*'Stats og tweaks'!$D$35&lt;0, "kropsvægt", ROUND(((1*(100+'Stats og tweaks'!$D$34)/100*(Sheet2!U122+'Stats og tweaks'!$C$7))-'Stats og tweaks'!$C$7)/'Stats og tweaks'!$D$35,0)*'Stats og tweaks'!$D$35)</f>
        <v>55</v>
      </c>
    </row>
    <row r="161" spans="1:21" x14ac:dyDescent="0.2">
      <c r="A161" s="4"/>
      <c r="B161" s="16" t="str">
        <f>'Stats og tweaks'!A$11</f>
        <v>Military press</v>
      </c>
      <c r="C161" s="5">
        <v>5</v>
      </c>
      <c r="D161" s="5" t="s">
        <v>72</v>
      </c>
      <c r="E161" s="5">
        <v>5</v>
      </c>
      <c r="F161" s="5" t="s">
        <v>60</v>
      </c>
      <c r="G161" s="6">
        <f>ROUND((('Stats og tweaks'!$D$33)/100*(100+'Stats og tweaks'!$D$34)/100*Sheet2!G122)/'Stats og tweaks'!$D$35,0)*'Stats og tweaks'!$D$35</f>
        <v>55</v>
      </c>
      <c r="H161" s="4"/>
      <c r="I161" s="16" t="str">
        <f>'Stats og tweaks'!B$13</f>
        <v>Dødløft</v>
      </c>
      <c r="J161" s="5">
        <v>5</v>
      </c>
      <c r="K161" s="5" t="s">
        <v>72</v>
      </c>
      <c r="L161" s="5">
        <v>5</v>
      </c>
      <c r="M161" s="5" t="s">
        <v>60</v>
      </c>
      <c r="N161" s="6">
        <f>ROUND((('Stats og tweaks'!$D$33)/100*(100+'Stats og tweaks'!$D$34)/100*Sheet2!N122)/'Stats og tweaks'!$D$35,0)*'Stats og tweaks'!$D$35</f>
        <v>137.5</v>
      </c>
      <c r="O161" s="4"/>
      <c r="P161" s="16" t="str">
        <f>'Stats og tweaks'!C$11</f>
        <v>Dips m. Vægt</v>
      </c>
      <c r="Q161" s="5">
        <v>5</v>
      </c>
      <c r="R161" s="5" t="s">
        <v>72</v>
      </c>
      <c r="S161" s="5">
        <v>5</v>
      </c>
      <c r="T161" s="5" t="s">
        <v>60</v>
      </c>
      <c r="U161" s="6">
        <f>IF(ROUND(((('Stats og tweaks'!$D$33)/100*(100+'Stats og tweaks'!$D$34)/100*(Sheet2!U122+'Stats og tweaks'!$C$7))-'Stats og tweaks'!$C$7)/'Stats og tweaks'!$D$35,0)*'Stats og tweaks'!$D$35&lt;0, "kropsvægt", ROUND(((('Stats og tweaks'!$D$33)/100*(100+'Stats og tweaks'!$D$34)/100*(Sheet2!U122+'Stats og tweaks'!$C$7))-'Stats og tweaks'!$C$7)/'Stats og tweaks'!$D$35,0)*'Stats og tweaks'!$D$35)</f>
        <v>25</v>
      </c>
    </row>
    <row r="162" spans="1:21" x14ac:dyDescent="0.2">
      <c r="A162" s="4" t="s">
        <v>66</v>
      </c>
      <c r="B162" s="5" t="str">
        <f>'Stats og tweaks'!A$12</f>
        <v>Kropshævninger m. Vægt</v>
      </c>
      <c r="C162" s="5">
        <v>10</v>
      </c>
      <c r="D162" s="5" t="s">
        <v>72</v>
      </c>
      <c r="E162" s="5">
        <v>5</v>
      </c>
      <c r="F162" s="5" t="s">
        <v>60</v>
      </c>
      <c r="G162" s="6">
        <f>IF((ROUND(((('Stats og tweaks'!$D$33)/100*(Sheet2!G147+'Stats og tweaks'!$C$7))-'Stats og tweaks'!$C$7)/'Stats og tweaks'!$D$35,0)*'Stats og tweaks'!$D$35)&lt;0, "kropsvægt", (ROUND(((('Stats og tweaks'!$D$33)/100*(Sheet2!G147+'Stats og tweaks'!$C$7))-'Stats og tweaks'!$C$7)/'Stats og tweaks'!$D$35,0)*'Stats og tweaks'!D144))</f>
        <v>0</v>
      </c>
      <c r="H162" s="4"/>
      <c r="I162" s="5"/>
      <c r="J162" s="5"/>
      <c r="K162" s="5"/>
      <c r="L162" s="5"/>
      <c r="M162" s="5"/>
      <c r="N162" s="6"/>
      <c r="O162" s="4" t="s">
        <v>66</v>
      </c>
      <c r="P162" s="5" t="str">
        <f>'Stats og tweaks'!C$12</f>
        <v>Frivend</v>
      </c>
      <c r="Q162" s="5">
        <v>10</v>
      </c>
      <c r="R162" s="5" t="s">
        <v>74</v>
      </c>
      <c r="S162" s="5">
        <v>5</v>
      </c>
      <c r="T162" s="5" t="s">
        <v>60</v>
      </c>
      <c r="U162" s="6">
        <f>ROUND((('Stats og tweaks'!$D$33)/100*U185)/'Stats og tweaks'!$D$35,0)*'Stats og tweaks'!$D$35</f>
        <v>0</v>
      </c>
    </row>
    <row r="163" spans="1:21" x14ac:dyDescent="0.2">
      <c r="A163" s="4"/>
      <c r="B163" s="5"/>
      <c r="C163" s="5"/>
      <c r="D163" s="5"/>
      <c r="E163" s="5"/>
      <c r="F163" s="5"/>
      <c r="G163" s="6"/>
      <c r="H163" s="4"/>
      <c r="I163" s="16"/>
      <c r="J163" s="5"/>
      <c r="K163" s="5"/>
      <c r="L163" s="5"/>
      <c r="M163" s="5"/>
      <c r="N163" s="6"/>
      <c r="O163" s="4"/>
      <c r="P163" s="5"/>
      <c r="Q163" s="5"/>
      <c r="R163" s="5"/>
      <c r="S163" s="5"/>
      <c r="T163" s="5"/>
      <c r="U163" s="6"/>
    </row>
    <row r="164" spans="1:21" x14ac:dyDescent="0.2">
      <c r="A164" s="4"/>
      <c r="B164" s="14"/>
      <c r="C164" s="14"/>
      <c r="D164" s="14"/>
      <c r="E164" s="14"/>
      <c r="F164" s="14"/>
      <c r="G164" s="7"/>
      <c r="H164" s="4"/>
      <c r="I164" s="16"/>
      <c r="J164" s="5"/>
      <c r="K164" s="5"/>
      <c r="L164" s="5"/>
      <c r="M164" s="5"/>
      <c r="N164" s="6"/>
      <c r="O164" s="4"/>
      <c r="P164" s="14"/>
      <c r="Q164" s="14"/>
      <c r="R164" s="14"/>
      <c r="S164" s="14"/>
      <c r="T164" s="14"/>
      <c r="U164" s="22"/>
    </row>
    <row r="165" spans="1:21" x14ac:dyDescent="0.2">
      <c r="A165" s="4"/>
      <c r="B165" s="14"/>
      <c r="C165" s="14"/>
      <c r="D165" s="14"/>
      <c r="E165" s="14"/>
      <c r="F165" s="14"/>
      <c r="G165" s="7"/>
      <c r="H165" s="4"/>
      <c r="I165" s="16"/>
      <c r="J165" s="5"/>
      <c r="K165" s="5"/>
      <c r="L165" s="5"/>
      <c r="M165" s="5"/>
      <c r="N165" s="6"/>
      <c r="O165" s="4"/>
      <c r="P165" s="14"/>
      <c r="Q165" s="14"/>
      <c r="R165" s="14"/>
      <c r="S165" s="14"/>
      <c r="T165" s="14"/>
      <c r="U165" s="22"/>
    </row>
    <row r="166" spans="1:21" x14ac:dyDescent="0.2">
      <c r="A166" s="4"/>
      <c r="B166" s="14"/>
      <c r="C166" s="14"/>
      <c r="D166" s="14"/>
      <c r="E166" s="14"/>
      <c r="F166" s="14"/>
      <c r="G166" s="7"/>
      <c r="H166" s="4"/>
      <c r="I166" s="16"/>
      <c r="J166" s="5"/>
      <c r="K166" s="5"/>
      <c r="L166" s="5"/>
      <c r="M166" s="5"/>
      <c r="N166" s="6"/>
      <c r="O166" s="4"/>
      <c r="P166" s="14"/>
      <c r="Q166" s="14"/>
      <c r="R166" s="14"/>
      <c r="S166" s="14"/>
      <c r="T166" s="14"/>
      <c r="U166" s="22"/>
    </row>
    <row r="167" spans="1:21" x14ac:dyDescent="0.2">
      <c r="A167" s="4"/>
      <c r="B167" s="14"/>
      <c r="C167" s="14"/>
      <c r="D167" s="14"/>
      <c r="E167" s="14"/>
      <c r="F167" s="14"/>
      <c r="G167" s="7"/>
      <c r="H167" s="4"/>
      <c r="I167" s="16"/>
      <c r="J167" s="5"/>
      <c r="K167" s="5"/>
      <c r="L167" s="5"/>
      <c r="M167" s="5"/>
      <c r="N167" s="6"/>
      <c r="O167" s="4"/>
      <c r="P167" s="14"/>
      <c r="Q167" s="14"/>
      <c r="R167" s="14"/>
      <c r="S167" s="14"/>
      <c r="T167" s="14"/>
      <c r="U167" s="22"/>
    </row>
    <row r="168" spans="1:21" x14ac:dyDescent="0.2">
      <c r="A168" s="4"/>
      <c r="B168" s="5"/>
      <c r="C168" s="5"/>
      <c r="D168" s="5"/>
      <c r="E168" s="5"/>
      <c r="F168" s="5"/>
      <c r="G168" s="7"/>
      <c r="H168" s="4"/>
      <c r="I168" s="5"/>
      <c r="J168" s="5"/>
      <c r="K168" s="5"/>
      <c r="L168" s="5"/>
      <c r="M168" s="5"/>
      <c r="N168" s="6"/>
      <c r="O168" s="4"/>
      <c r="P168" s="5"/>
      <c r="Q168" s="5"/>
      <c r="R168" s="5"/>
      <c r="S168" s="5"/>
      <c r="T168" s="5"/>
      <c r="U168" s="7"/>
    </row>
    <row r="169" spans="1:21" x14ac:dyDescent="0.2">
      <c r="A169" s="4"/>
      <c r="B169" s="5"/>
      <c r="C169" s="5"/>
      <c r="D169" s="5"/>
      <c r="E169" s="5"/>
      <c r="F169" s="5"/>
      <c r="G169" s="7"/>
      <c r="H169" s="4"/>
      <c r="I169" s="14"/>
      <c r="J169" s="14"/>
      <c r="K169" s="14"/>
      <c r="L169" s="14"/>
      <c r="M169" s="14"/>
      <c r="N169" s="7"/>
      <c r="O169" s="4"/>
      <c r="P169" s="5"/>
      <c r="Q169" s="5"/>
      <c r="R169" s="5"/>
      <c r="S169" s="5"/>
      <c r="T169" s="5"/>
      <c r="U169" s="7"/>
    </row>
    <row r="170" spans="1:21" x14ac:dyDescent="0.2">
      <c r="A170" s="4"/>
      <c r="B170" s="5"/>
      <c r="C170" s="5"/>
      <c r="D170" s="5"/>
      <c r="E170" s="5"/>
      <c r="F170" s="5"/>
      <c r="G170" s="7"/>
      <c r="H170" s="4"/>
      <c r="I170" s="14"/>
      <c r="J170" s="14"/>
      <c r="K170" s="14"/>
      <c r="L170" s="14"/>
      <c r="M170" s="14"/>
      <c r="N170" s="7"/>
      <c r="O170" s="4"/>
      <c r="P170" s="5"/>
      <c r="Q170" s="5"/>
      <c r="R170" s="5"/>
      <c r="S170" s="5"/>
      <c r="T170" s="5"/>
      <c r="U170" s="7"/>
    </row>
    <row r="171" spans="1:21" ht="13.5" thickBot="1" x14ac:dyDescent="0.25">
      <c r="A171" s="8"/>
      <c r="B171" s="9"/>
      <c r="C171" s="9"/>
      <c r="D171" s="9"/>
      <c r="E171" s="9"/>
      <c r="F171" s="9"/>
      <c r="G171" s="10"/>
      <c r="H171" s="8"/>
      <c r="I171" s="9"/>
      <c r="J171" s="9"/>
      <c r="K171" s="9"/>
      <c r="L171" s="9"/>
      <c r="M171" s="9"/>
      <c r="N171" s="10"/>
      <c r="O171" s="8"/>
      <c r="P171" s="9"/>
      <c r="Q171" s="9"/>
      <c r="R171" s="9"/>
      <c r="S171" s="9"/>
      <c r="T171" s="9"/>
      <c r="U171" s="10"/>
    </row>
    <row r="173" spans="1:21" ht="25.5" thickBot="1" x14ac:dyDescent="0.35">
      <c r="A173" s="25" t="s">
        <v>24</v>
      </c>
    </row>
    <row r="174" spans="1:21" ht="13.5" thickBot="1" x14ac:dyDescent="0.25">
      <c r="A174" s="11" t="s">
        <v>95</v>
      </c>
      <c r="B174" s="12"/>
      <c r="C174" s="12"/>
      <c r="D174" s="12"/>
      <c r="E174" s="12"/>
      <c r="F174" s="12"/>
      <c r="G174" s="13"/>
      <c r="H174" s="11" t="s">
        <v>96</v>
      </c>
      <c r="I174" s="12"/>
      <c r="J174" s="12"/>
      <c r="K174" s="12"/>
      <c r="L174" s="12"/>
      <c r="M174" s="12"/>
      <c r="N174" s="13"/>
      <c r="O174" s="11" t="s">
        <v>97</v>
      </c>
      <c r="P174" s="12"/>
      <c r="Q174" s="12"/>
      <c r="R174" s="12"/>
      <c r="S174" s="12"/>
      <c r="T174" s="12"/>
      <c r="U174" s="13"/>
    </row>
    <row r="175" spans="1:21" x14ac:dyDescent="0.2">
      <c r="A175" s="4" t="s">
        <v>84</v>
      </c>
      <c r="B175" s="5" t="str">
        <f>'Stats og tweaks'!A$13</f>
        <v>Front squat</v>
      </c>
      <c r="C175" s="5">
        <v>1</v>
      </c>
      <c r="D175" s="5" t="s">
        <v>72</v>
      </c>
      <c r="E175" s="5">
        <v>5</v>
      </c>
      <c r="F175" s="5" t="s">
        <v>60</v>
      </c>
      <c r="G175" s="6">
        <f>ROUND((0.6*(100+'Stats og tweaks'!$D$34)/100*Sheet2!G141)/'Stats og tweaks'!$D$35,0)*'Stats og tweaks'!$D$35</f>
        <v>70</v>
      </c>
      <c r="H175" s="4" t="s">
        <v>90</v>
      </c>
      <c r="I175" s="5" t="str">
        <f>'Stats og tweaks'!B$11</f>
        <v>Bænkpres</v>
      </c>
      <c r="J175" s="5">
        <v>1</v>
      </c>
      <c r="K175" s="5" t="s">
        <v>72</v>
      </c>
      <c r="L175" s="5">
        <v>5</v>
      </c>
      <c r="M175" s="5" t="s">
        <v>60</v>
      </c>
      <c r="N175" s="6">
        <f>ROUND((0.6*(100+'Stats og tweaks'!$D$34)/100*Sheet2!N141)/'Stats og tweaks'!$D$35,0)*'Stats og tweaks'!$D$35</f>
        <v>60</v>
      </c>
      <c r="O175" s="4" t="s">
        <v>84</v>
      </c>
      <c r="P175" s="5" t="str">
        <f>'Stats og tweaks'!C$13</f>
        <v>Back squat</v>
      </c>
      <c r="Q175" s="5">
        <v>1</v>
      </c>
      <c r="R175" s="5" t="s">
        <v>72</v>
      </c>
      <c r="S175" s="5">
        <v>5</v>
      </c>
      <c r="T175" s="5" t="s">
        <v>60</v>
      </c>
      <c r="U175" s="6">
        <f>ROUND((0.6*(100+'Stats og tweaks'!$D$34)/100*Sheet2!U141)/'Stats og tweaks'!$D$35,0)*'Stats og tweaks'!$D$35</f>
        <v>85</v>
      </c>
    </row>
    <row r="176" spans="1:21" x14ac:dyDescent="0.2">
      <c r="A176" s="4"/>
      <c r="B176" s="16" t="str">
        <f>'Stats og tweaks'!A$13</f>
        <v>Front squat</v>
      </c>
      <c r="C176" s="5">
        <v>1</v>
      </c>
      <c r="D176" s="5" t="s">
        <v>72</v>
      </c>
      <c r="E176" s="5">
        <v>5</v>
      </c>
      <c r="F176" s="5" t="s">
        <v>60</v>
      </c>
      <c r="G176" s="6">
        <f>ROUND((0.7*(100+'Stats og tweaks'!$D$34)/100*Sheet2!G141)/'Stats og tweaks'!$D$35,0)*'Stats og tweaks'!$D$35</f>
        <v>82.5</v>
      </c>
      <c r="H176" s="4"/>
      <c r="I176" s="16" t="str">
        <f>'Stats og tweaks'!B$11</f>
        <v>Bænkpres</v>
      </c>
      <c r="J176" s="5">
        <v>1</v>
      </c>
      <c r="K176" s="5" t="s">
        <v>72</v>
      </c>
      <c r="L176" s="5">
        <v>5</v>
      </c>
      <c r="M176" s="5" t="s">
        <v>60</v>
      </c>
      <c r="N176" s="6">
        <f>ROUND((0.7*(100+'Stats og tweaks'!$D$34)/100*Sheet2!N141)/'Stats og tweaks'!$D$35,0)*'Stats og tweaks'!$D$35</f>
        <v>70</v>
      </c>
      <c r="O176" s="4"/>
      <c r="P176" s="16" t="str">
        <f>'Stats og tweaks'!C$13</f>
        <v>Back squat</v>
      </c>
      <c r="Q176" s="5">
        <v>1</v>
      </c>
      <c r="R176" s="5" t="s">
        <v>72</v>
      </c>
      <c r="S176" s="5">
        <v>5</v>
      </c>
      <c r="T176" s="5" t="s">
        <v>60</v>
      </c>
      <c r="U176" s="6">
        <f>ROUND((0.7*(100+'Stats og tweaks'!$D$34)/100*Sheet2!U141)/'Stats og tweaks'!$D$35,0)*'Stats og tweaks'!$D$35</f>
        <v>100</v>
      </c>
    </row>
    <row r="177" spans="1:21" x14ac:dyDescent="0.2">
      <c r="A177" s="4"/>
      <c r="B177" s="16" t="str">
        <f>'Stats og tweaks'!A$13</f>
        <v>Front squat</v>
      </c>
      <c r="C177" s="5">
        <v>1</v>
      </c>
      <c r="D177" s="5" t="s">
        <v>72</v>
      </c>
      <c r="E177" s="5">
        <v>5</v>
      </c>
      <c r="F177" s="5" t="s">
        <v>60</v>
      </c>
      <c r="G177" s="6">
        <f>ROUND((0.8*(100+'Stats og tweaks'!$D$34)/100*Sheet2!G141)/'Stats og tweaks'!$D$35,0)*'Stats og tweaks'!$D$35</f>
        <v>92.5</v>
      </c>
      <c r="H177" s="4"/>
      <c r="I177" s="16" t="str">
        <f>'Stats og tweaks'!B$11</f>
        <v>Bænkpres</v>
      </c>
      <c r="J177" s="5">
        <v>1</v>
      </c>
      <c r="K177" s="5" t="s">
        <v>72</v>
      </c>
      <c r="L177" s="5">
        <v>5</v>
      </c>
      <c r="M177" s="5" t="s">
        <v>60</v>
      </c>
      <c r="N177" s="6">
        <f>ROUND((0.8*(100+'Stats og tweaks'!$D$34)/100*Sheet2!N141)/'Stats og tweaks'!$D$35,0)*'Stats og tweaks'!$D$35</f>
        <v>80</v>
      </c>
      <c r="O177" s="4"/>
      <c r="P177" s="16" t="str">
        <f>'Stats og tweaks'!C$13</f>
        <v>Back squat</v>
      </c>
      <c r="Q177" s="5">
        <v>1</v>
      </c>
      <c r="R177" s="5" t="s">
        <v>72</v>
      </c>
      <c r="S177" s="5">
        <v>5</v>
      </c>
      <c r="T177" s="5" t="s">
        <v>60</v>
      </c>
      <c r="U177" s="6">
        <f>ROUND((0.8*(100+'Stats og tweaks'!$D$34)/100*Sheet2!U141)/'Stats og tweaks'!$D$35,0)*'Stats og tweaks'!$D$35</f>
        <v>115</v>
      </c>
    </row>
    <row r="178" spans="1:21" x14ac:dyDescent="0.2">
      <c r="A178" s="4"/>
      <c r="B178" s="16" t="str">
        <f>'Stats og tweaks'!A$13</f>
        <v>Front squat</v>
      </c>
      <c r="C178" s="5">
        <v>1</v>
      </c>
      <c r="D178" s="5" t="s">
        <v>72</v>
      </c>
      <c r="E178" s="5">
        <v>5</v>
      </c>
      <c r="F178" s="5" t="s">
        <v>60</v>
      </c>
      <c r="G178" s="6">
        <f>ROUND((0.9*(100+'Stats og tweaks'!$D$34)/100*Sheet2!G141)/'Stats og tweaks'!$D$35,0)*'Stats og tweaks'!$D$35</f>
        <v>105</v>
      </c>
      <c r="H178" s="4"/>
      <c r="I178" s="16" t="str">
        <f>'Stats og tweaks'!B$11</f>
        <v>Bænkpres</v>
      </c>
      <c r="J178" s="5">
        <v>1</v>
      </c>
      <c r="K178" s="5" t="s">
        <v>72</v>
      </c>
      <c r="L178" s="5">
        <v>5</v>
      </c>
      <c r="M178" s="5" t="s">
        <v>60</v>
      </c>
      <c r="N178" s="6">
        <f>ROUND((0.9*(100+'Stats og tweaks'!$D$34)/100*Sheet2!N141)/'Stats og tweaks'!$D$35,0)*'Stats og tweaks'!$D$35</f>
        <v>90</v>
      </c>
      <c r="O178" s="4"/>
      <c r="P178" s="16" t="str">
        <f>'Stats og tweaks'!C$13</f>
        <v>Back squat</v>
      </c>
      <c r="Q178" s="5">
        <v>1</v>
      </c>
      <c r="R178" s="5" t="s">
        <v>72</v>
      </c>
      <c r="S178" s="5">
        <v>5</v>
      </c>
      <c r="T178" s="5" t="s">
        <v>60</v>
      </c>
      <c r="U178" s="6">
        <f>ROUND((0.9*(100+'Stats og tweaks'!$D$34)/100*Sheet2!U141)/'Stats og tweaks'!$D$35,0)*'Stats og tweaks'!$D$35</f>
        <v>127.5</v>
      </c>
    </row>
    <row r="179" spans="1:21" x14ac:dyDescent="0.2">
      <c r="A179" s="4"/>
      <c r="B179" s="16" t="str">
        <f>'Stats og tweaks'!A$13</f>
        <v>Front squat</v>
      </c>
      <c r="C179" s="5">
        <v>1</v>
      </c>
      <c r="D179" s="5" t="s">
        <v>72</v>
      </c>
      <c r="E179" s="5">
        <v>5</v>
      </c>
      <c r="F179" s="5" t="s">
        <v>60</v>
      </c>
      <c r="G179" s="6">
        <f>ROUND((1*(100+'Stats og tweaks'!$D$34)/100*Sheet2!G141)/'Stats og tweaks'!$D$35,0)*'Stats og tweaks'!$D$35</f>
        <v>117.5</v>
      </c>
      <c r="H179" s="4"/>
      <c r="I179" s="16" t="str">
        <f>'Stats og tweaks'!B$11</f>
        <v>Bænkpres</v>
      </c>
      <c r="J179" s="5">
        <v>1</v>
      </c>
      <c r="K179" s="5" t="s">
        <v>72</v>
      </c>
      <c r="L179" s="5">
        <v>5</v>
      </c>
      <c r="M179" s="5" t="s">
        <v>60</v>
      </c>
      <c r="N179" s="6">
        <f>ROUND((1*(100+'Stats og tweaks'!$D$34)/100*Sheet2!N141)/'Stats og tweaks'!$D$35,0)*'Stats og tweaks'!$D$35</f>
        <v>100</v>
      </c>
      <c r="O179" s="4"/>
      <c r="P179" s="16" t="str">
        <f>'Stats og tweaks'!C$13</f>
        <v>Back squat</v>
      </c>
      <c r="Q179" s="5">
        <v>1</v>
      </c>
      <c r="R179" s="5" t="s">
        <v>72</v>
      </c>
      <c r="S179" s="5">
        <v>5</v>
      </c>
      <c r="T179" s="5" t="s">
        <v>60</v>
      </c>
      <c r="U179" s="6">
        <f>ROUND((1*(100+'Stats og tweaks'!$D$34)/100*Sheet2!U141)/'Stats og tweaks'!$D$35,0)*'Stats og tweaks'!$D$35</f>
        <v>142.5</v>
      </c>
    </row>
    <row r="180" spans="1:21" x14ac:dyDescent="0.2">
      <c r="A180" s="4"/>
      <c r="B180" s="16" t="str">
        <f>'Stats og tweaks'!A$13</f>
        <v>Front squat</v>
      </c>
      <c r="C180" s="5">
        <v>5</v>
      </c>
      <c r="D180" s="5" t="s">
        <v>72</v>
      </c>
      <c r="E180" s="5">
        <v>5</v>
      </c>
      <c r="F180" s="5" t="s">
        <v>60</v>
      </c>
      <c r="G180" s="6">
        <f>ROUND((('Stats og tweaks'!$D$33)/100*(100+'Stats og tweaks'!$D$34)/100*Sheet2!G141)/'Stats og tweaks'!$D$35,0)*'Stats og tweaks'!$D$35</f>
        <v>92.5</v>
      </c>
      <c r="H180" s="4"/>
      <c r="I180" s="16" t="str">
        <f>'Stats og tweaks'!B$11</f>
        <v>Bænkpres</v>
      </c>
      <c r="J180" s="5">
        <v>5</v>
      </c>
      <c r="K180" s="5" t="s">
        <v>72</v>
      </c>
      <c r="L180" s="5">
        <v>5</v>
      </c>
      <c r="M180" s="5" t="s">
        <v>60</v>
      </c>
      <c r="N180" s="6">
        <f>ROUND((('Stats og tweaks'!$D$33)/100*(100+'Stats og tweaks'!$D$34)/100*Sheet2!N141)/'Stats og tweaks'!$D$35,0)*'Stats og tweaks'!$D$35</f>
        <v>80</v>
      </c>
      <c r="O180" s="4"/>
      <c r="P180" s="16" t="str">
        <f>'Stats og tweaks'!C$13</f>
        <v>Back squat</v>
      </c>
      <c r="Q180" s="5">
        <v>5</v>
      </c>
      <c r="R180" s="5" t="s">
        <v>72</v>
      </c>
      <c r="S180" s="5">
        <v>5</v>
      </c>
      <c r="T180" s="5" t="s">
        <v>60</v>
      </c>
      <c r="U180" s="6">
        <f>ROUND((('Stats og tweaks'!$D$33)/100*(100+'Stats og tweaks'!$D$34)/100*Sheet2!U141)/'Stats og tweaks'!$D$35,0)*'Stats og tweaks'!$D$35</f>
        <v>115</v>
      </c>
    </row>
    <row r="181" spans="1:21" x14ac:dyDescent="0.2">
      <c r="A181" s="4"/>
      <c r="B181" s="5"/>
      <c r="C181" s="5"/>
      <c r="D181" s="5"/>
      <c r="E181" s="5"/>
      <c r="F181" s="5"/>
      <c r="G181" s="6"/>
      <c r="H181" s="4" t="s">
        <v>91</v>
      </c>
      <c r="I181" s="5" t="str">
        <f>'Stats og tweaks'!B$12</f>
        <v>Chest-supported rows</v>
      </c>
      <c r="J181" s="5">
        <v>10</v>
      </c>
      <c r="K181" s="5" t="s">
        <v>72</v>
      </c>
      <c r="L181" s="5">
        <v>5</v>
      </c>
      <c r="M181" s="5" t="s">
        <v>60</v>
      </c>
      <c r="N181" s="6">
        <f>ROUND((('Stats og tweaks'!$D$33)/100*N166)/'Stats og tweaks'!$D$35,0)*'Stats og tweaks'!$D$35</f>
        <v>0</v>
      </c>
      <c r="O181" s="4"/>
      <c r="P181" s="5"/>
      <c r="Q181" s="5"/>
      <c r="R181" s="5"/>
      <c r="S181" s="5"/>
      <c r="T181" s="5"/>
      <c r="U181" s="6"/>
    </row>
    <row r="182" spans="1:21" x14ac:dyDescent="0.2">
      <c r="A182" s="4"/>
      <c r="B182" s="16"/>
      <c r="C182" s="5"/>
      <c r="D182" s="5"/>
      <c r="E182" s="5"/>
      <c r="F182" s="5"/>
      <c r="G182" s="6"/>
      <c r="H182" s="4"/>
      <c r="I182" s="5"/>
      <c r="J182" s="5"/>
      <c r="K182" s="5"/>
      <c r="L182" s="5"/>
      <c r="M182" s="5"/>
      <c r="N182" s="6"/>
      <c r="O182" s="4"/>
      <c r="P182" s="16"/>
      <c r="Q182" s="5"/>
      <c r="R182" s="5"/>
      <c r="S182" s="5"/>
      <c r="T182" s="5"/>
      <c r="U182" s="6"/>
    </row>
    <row r="183" spans="1:21" x14ac:dyDescent="0.2">
      <c r="A183" s="4"/>
      <c r="B183" s="16"/>
      <c r="C183" s="5"/>
      <c r="D183" s="5"/>
      <c r="E183" s="5"/>
      <c r="F183" s="5"/>
      <c r="G183" s="6"/>
      <c r="H183" s="4"/>
      <c r="I183" s="14"/>
      <c r="J183" s="14"/>
      <c r="K183" s="14"/>
      <c r="L183" s="14"/>
      <c r="M183" s="14"/>
      <c r="N183" s="14"/>
      <c r="O183" s="4"/>
      <c r="P183" s="16"/>
      <c r="Q183" s="5"/>
      <c r="R183" s="5"/>
      <c r="S183" s="5"/>
      <c r="T183" s="5"/>
      <c r="U183" s="6"/>
    </row>
    <row r="184" spans="1:21" x14ac:dyDescent="0.2">
      <c r="A184" s="4"/>
      <c r="B184" s="16"/>
      <c r="C184" s="5"/>
      <c r="D184" s="5"/>
      <c r="E184" s="5"/>
      <c r="F184" s="5"/>
      <c r="G184" s="6"/>
      <c r="H184" s="4"/>
      <c r="I184" s="14"/>
      <c r="J184" s="14"/>
      <c r="K184" s="14"/>
      <c r="L184" s="14"/>
      <c r="M184" s="14"/>
      <c r="N184" s="14"/>
      <c r="O184" s="4"/>
      <c r="P184" s="16"/>
      <c r="Q184" s="5"/>
      <c r="R184" s="5"/>
      <c r="S184" s="5"/>
      <c r="T184" s="5"/>
      <c r="U184" s="6"/>
    </row>
    <row r="185" spans="1:21" x14ac:dyDescent="0.2">
      <c r="A185" s="4"/>
      <c r="B185" s="16"/>
      <c r="C185" s="5"/>
      <c r="D185" s="5"/>
      <c r="E185" s="5"/>
      <c r="F185" s="5"/>
      <c r="G185" s="6"/>
      <c r="H185" s="4"/>
      <c r="I185" s="14"/>
      <c r="J185" s="14"/>
      <c r="K185" s="14"/>
      <c r="L185" s="14"/>
      <c r="M185" s="14"/>
      <c r="N185" s="14"/>
      <c r="O185" s="4"/>
      <c r="P185" s="16"/>
      <c r="Q185" s="5"/>
      <c r="R185" s="5"/>
      <c r="S185" s="5"/>
      <c r="T185" s="5"/>
      <c r="U185" s="6"/>
    </row>
    <row r="186" spans="1:21" x14ac:dyDescent="0.2">
      <c r="A186" s="4"/>
      <c r="B186" s="16"/>
      <c r="C186" s="5"/>
      <c r="D186" s="5"/>
      <c r="E186" s="5"/>
      <c r="F186" s="5"/>
      <c r="G186" s="6"/>
      <c r="H186" s="4"/>
      <c r="I186" s="14"/>
      <c r="J186" s="14"/>
      <c r="K186" s="14"/>
      <c r="L186" s="14"/>
      <c r="M186" s="14"/>
      <c r="N186" s="14"/>
      <c r="O186" s="4"/>
      <c r="P186" s="16"/>
      <c r="Q186" s="5"/>
      <c r="R186" s="5"/>
      <c r="S186" s="5"/>
      <c r="T186" s="5"/>
      <c r="U186" s="6"/>
    </row>
    <row r="187" spans="1:21" x14ac:dyDescent="0.2">
      <c r="A187" s="4"/>
      <c r="B187" s="5"/>
      <c r="C187" s="5"/>
      <c r="D187" s="5"/>
      <c r="E187" s="5"/>
      <c r="F187" s="5"/>
      <c r="G187" s="6"/>
      <c r="H187" s="4"/>
      <c r="I187" s="5"/>
      <c r="J187" s="5"/>
      <c r="K187" s="5"/>
      <c r="L187" s="5"/>
      <c r="M187" s="5"/>
      <c r="N187" s="7"/>
      <c r="O187" s="4"/>
      <c r="P187" s="5"/>
      <c r="Q187" s="5"/>
      <c r="R187" s="5"/>
      <c r="S187" s="5"/>
      <c r="T187" s="5"/>
      <c r="U187" s="6"/>
    </row>
    <row r="188" spans="1:21" x14ac:dyDescent="0.2">
      <c r="A188" s="4"/>
      <c r="B188" s="14"/>
      <c r="C188" s="5"/>
      <c r="D188" s="5"/>
      <c r="E188" s="5"/>
      <c r="F188" s="5"/>
      <c r="G188" s="14"/>
      <c r="H188" s="4"/>
      <c r="I188" s="5"/>
      <c r="J188" s="5"/>
      <c r="K188" s="5"/>
      <c r="L188" s="5"/>
      <c r="M188" s="5"/>
      <c r="N188" s="7"/>
      <c r="O188" s="4"/>
      <c r="P188" s="14"/>
      <c r="Q188" s="14"/>
      <c r="R188" s="14"/>
      <c r="S188" s="14"/>
      <c r="T188" s="14"/>
      <c r="U188" s="22"/>
    </row>
    <row r="189" spans="1:21" x14ac:dyDescent="0.2">
      <c r="A189" s="4"/>
      <c r="B189" s="14"/>
      <c r="C189" s="5"/>
      <c r="D189" s="5"/>
      <c r="E189" s="5"/>
      <c r="F189" s="5"/>
      <c r="G189" s="14"/>
      <c r="H189" s="4"/>
      <c r="I189" s="5"/>
      <c r="J189" s="5"/>
      <c r="K189" s="5"/>
      <c r="L189" s="5"/>
      <c r="M189" s="5"/>
      <c r="N189" s="7"/>
      <c r="O189" s="4"/>
      <c r="P189" s="14"/>
      <c r="Q189" s="14"/>
      <c r="R189" s="14"/>
      <c r="S189" s="14"/>
      <c r="T189" s="14"/>
      <c r="U189" s="22"/>
    </row>
    <row r="190" spans="1:21" ht="13.5" thickBot="1" x14ac:dyDescent="0.25">
      <c r="A190" s="8"/>
      <c r="B190" s="9"/>
      <c r="C190" s="9"/>
      <c r="D190" s="9"/>
      <c r="E190" s="9"/>
      <c r="F190" s="9"/>
      <c r="G190" s="10"/>
      <c r="H190" s="8"/>
      <c r="I190" s="9"/>
      <c r="J190" s="9"/>
      <c r="K190" s="9"/>
      <c r="L190" s="9"/>
      <c r="M190" s="9"/>
      <c r="N190" s="10"/>
      <c r="O190" s="8"/>
      <c r="P190" s="9"/>
      <c r="Q190" s="9"/>
      <c r="R190" s="9"/>
      <c r="S190" s="9"/>
      <c r="T190" s="9"/>
      <c r="U190" s="10"/>
    </row>
  </sheetData>
  <phoneticPr fontId="1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Stats og tweaks</vt:lpstr>
      <vt:lpstr>Sheet2</vt:lpstr>
      <vt:lpstr>Sheet2!Udskriftsområde</vt:lpstr>
    </vt:vector>
  </TitlesOfParts>
  <Company>hf49yfsb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Nedergaard</dc:creator>
  <cp:lastModifiedBy>Bruger</cp:lastModifiedBy>
  <dcterms:created xsi:type="dcterms:W3CDTF">2011-05-24T10:39:08Z</dcterms:created>
  <dcterms:modified xsi:type="dcterms:W3CDTF">2016-06-15T06:33:35Z</dcterms:modified>
</cp:coreProperties>
</file>